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NewShared\Communications\Website\Feed cost modelling\December 16, 2021\"/>
    </mc:Choice>
  </mc:AlternateContent>
  <xr:revisionPtr revIDLastSave="0" documentId="8_{A87A163B-814D-49A7-9342-01DC09529B41}" xr6:coauthVersionLast="47" xr6:coauthVersionMax="47" xr10:uidLastSave="{00000000-0000-0000-0000-000000000000}"/>
  <workbookProtection workbookAlgorithmName="SHA-512" workbookHashValue="F3aHs0iqeiOtlenHedpCmmitCV/au5UAeneNP8yIuqJ2jikJRjBXNjVHpHfwz1Ij3BOyrOB3xbfLb8W76ERsFg==" workbookSaltValue="wPPsj3tehygQ31HItp7hRA==" workbookSpinCount="100000" lockStructure="1"/>
  <bookViews>
    <workbookView xWindow="1425" yWindow="2175" windowWidth="21600" windowHeight="11385" firstSheet="11" activeTab="11" xr2:uid="{00000000-000D-0000-FFFF-FFFF00000000}"/>
  </bookViews>
  <sheets>
    <sheet name="raw" sheetId="21" state="hidden" r:id="rId1"/>
    <sheet name="Lactation" sheetId="2" state="hidden" r:id="rId2"/>
    <sheet name="Gestation" sheetId="4" state="hidden" r:id="rId3"/>
    <sheet name="Gilt Dev" sheetId="5" state="hidden" r:id="rId4"/>
    <sheet name="Starter 1" sheetId="18" state="hidden" r:id="rId5"/>
    <sheet name="Starter 2" sheetId="6" state="hidden" r:id="rId6"/>
    <sheet name="Pre-grower" sheetId="7" state="hidden" r:id="rId7"/>
    <sheet name="Grower 1" sheetId="8" state="hidden" r:id="rId8"/>
    <sheet name="Grower 2" sheetId="17" state="hidden" r:id="rId9"/>
    <sheet name="Finisher" sheetId="9" state="hidden" r:id="rId10"/>
    <sheet name="RM Usage" sheetId="12" state="hidden" r:id="rId11"/>
    <sheet name="F C M" sheetId="11" r:id="rId12"/>
    <sheet name="Summary FCM" sheetId="10" state="hidden" r:id="rId13"/>
    <sheet name="Hist. Pricing" sheetId="14" state="hidden" r:id="rId14"/>
    <sheet name="RMP" sheetId="3" state="hidden" r:id="rId15"/>
  </sheets>
  <definedNames>
    <definedName name="Feed_Tonnes">'RM Usage'!$C$7:$K$7</definedName>
    <definedName name="Finisher">Finisher!$B$6:$E$23</definedName>
    <definedName name="Freight">'F C M'!$B$6</definedName>
    <definedName name="Gest_Quarantine">'Starter 1'!#REF!</definedName>
    <definedName name="Gestation">Gestation!$B$6:$E$22</definedName>
    <definedName name="Gilt_Dev">'Gilt Dev'!$B$6:$E$22</definedName>
    <definedName name="Grower">'Grower 1'!$B$6:$E$22</definedName>
    <definedName name="Grower2">'Grower 2'!$B$6:$E$21</definedName>
    <definedName name="Lactation">Lactation!$B$6:$E$22</definedName>
    <definedName name="Margin_Crumbles">'F C M'!$B$5</definedName>
    <definedName name="Margin_Pellet">'F C M'!$C$5</definedName>
    <definedName name="Pigs_Mktd">'RM Usage'!$B$3</definedName>
    <definedName name="Pre_Grower">'Pre-grower'!$B$6:$E$23</definedName>
    <definedName name="Quarantine">'Grower 2'!$B$6:$E$21</definedName>
    <definedName name="raw_1">raw!$A$4:$N$43</definedName>
    <definedName name="raw_2">raw!$B$25:$O$220</definedName>
    <definedName name="RMP_IU">'RM Usage'!$B$9:$B$38</definedName>
    <definedName name="RMP_MFH">MFH_Pricing[[#All],[INGREDIENT NAME]:[Column1]]</definedName>
    <definedName name="Shrink">'F C M'!$B$4</definedName>
    <definedName name="Str_2">'Starter 2'!$B$6:$E$30</definedName>
    <definedName name="Truck_Load_Size">'RM Usage'!$O$7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0" l="1"/>
  <c r="B11" i="10"/>
  <c r="C11" i="10" l="1"/>
  <c r="G21" i="11" l="1"/>
  <c r="D14" i="9"/>
  <c r="C14" i="9" s="1"/>
  <c r="E14" i="9"/>
  <c r="G20" i="11"/>
  <c r="G16" i="21"/>
  <c r="D9" i="17"/>
  <c r="C9" i="17" s="1"/>
  <c r="E9" i="17"/>
  <c r="D20" i="8"/>
  <c r="C20" i="8" s="1"/>
  <c r="E20" i="8"/>
  <c r="D9" i="6"/>
  <c r="C9" i="6" s="1"/>
  <c r="E9" i="6"/>
  <c r="D21" i="5" l="1"/>
  <c r="C21" i="5" s="1"/>
  <c r="E21" i="5"/>
  <c r="D7" i="5"/>
  <c r="C7" i="5" s="1"/>
  <c r="E7" i="5"/>
  <c r="D11" i="10" l="1"/>
  <c r="C12" i="10" s="1"/>
  <c r="B21" i="11" l="1"/>
  <c r="B19" i="11"/>
  <c r="E11" i="10"/>
  <c r="D12" i="10" s="1"/>
  <c r="F11" i="10" l="1"/>
  <c r="E12" i="10" s="1"/>
  <c r="D10" i="2" l="1"/>
  <c r="C10" i="2" s="1"/>
  <c r="C18" i="12" s="1"/>
  <c r="E10" i="2"/>
  <c r="B34" i="12"/>
  <c r="C34" i="12"/>
  <c r="C38" i="12"/>
  <c r="C36" i="12"/>
  <c r="C35" i="12"/>
  <c r="C33" i="12"/>
  <c r="C31" i="12"/>
  <c r="C30" i="12"/>
  <c r="C13" i="12"/>
  <c r="C14" i="12"/>
  <c r="C16" i="12"/>
  <c r="C19" i="12"/>
  <c r="C20" i="12"/>
  <c r="B30" i="11" l="1"/>
  <c r="H24" i="11" l="1"/>
  <c r="D27" i="11"/>
  <c r="D26" i="11"/>
  <c r="E26" i="11" s="1"/>
  <c r="D25" i="11"/>
  <c r="E25" i="11"/>
  <c r="E21" i="11"/>
  <c r="E20" i="11"/>
  <c r="E19" i="11"/>
  <c r="E17" i="11"/>
  <c r="E16" i="11"/>
  <c r="E15" i="11"/>
  <c r="H11" i="10" l="1"/>
  <c r="G11" i="10"/>
  <c r="F12" i="10" s="1"/>
  <c r="G12" i="10" l="1"/>
  <c r="D8" i="17"/>
  <c r="C8" i="17" s="1"/>
  <c r="E8" i="17"/>
  <c r="D7" i="8"/>
  <c r="C7" i="8" s="1"/>
  <c r="E7" i="8"/>
  <c r="D8" i="5"/>
  <c r="C8" i="5" s="1"/>
  <c r="E8" i="5"/>
  <c r="D9" i="5"/>
  <c r="C9" i="5" s="1"/>
  <c r="E9" i="5"/>
  <c r="D9" i="2" l="1"/>
  <c r="C9" i="2" s="1"/>
  <c r="C12" i="12" s="1"/>
  <c r="E9" i="2"/>
  <c r="H15" i="11" l="1"/>
  <c r="H25" i="11" s="1"/>
  <c r="F15" i="11"/>
  <c r="C43" i="12"/>
  <c r="D13" i="5"/>
  <c r="C13" i="5" s="1"/>
  <c r="E13" i="5"/>
  <c r="D8" i="4"/>
  <c r="C8" i="4" s="1"/>
  <c r="E15" i="9"/>
  <c r="D15" i="9"/>
  <c r="G25" i="11" l="1"/>
  <c r="E26" i="18"/>
  <c r="D26" i="18"/>
  <c r="D9" i="18"/>
  <c r="C9" i="18" s="1"/>
  <c r="D7" i="18"/>
  <c r="D15" i="17"/>
  <c r="C15" i="17" s="1"/>
  <c r="F21" i="11" l="1"/>
  <c r="F20" i="11"/>
  <c r="F19" i="11"/>
  <c r="F38" i="12" l="1"/>
  <c r="F11" i="12"/>
  <c r="F13" i="12"/>
  <c r="F16" i="12"/>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26" i="17"/>
  <c r="D7" i="17"/>
  <c r="C7" i="17" s="1"/>
  <c r="E7" i="17"/>
  <c r="D19" i="17"/>
  <c r="C19" i="17" s="1"/>
  <c r="E19" i="17"/>
  <c r="D10" i="17"/>
  <c r="C10" i="17" s="1"/>
  <c r="E10" i="17"/>
  <c r="D11" i="17"/>
  <c r="C11" i="17" s="1"/>
  <c r="E11" i="17"/>
  <c r="D12" i="17"/>
  <c r="C12" i="17" s="1"/>
  <c r="E12" i="17"/>
  <c r="D13" i="17"/>
  <c r="C13" i="17" s="1"/>
  <c r="E13" i="17"/>
  <c r="D18" i="17"/>
  <c r="C18" i="17" s="1"/>
  <c r="E18" i="17"/>
  <c r="D6" i="17"/>
  <c r="C6" i="17" s="1"/>
  <c r="E6" i="17"/>
  <c r="D14" i="17"/>
  <c r="C14" i="17" s="1"/>
  <c r="E14" i="17"/>
  <c r="E15" i="17"/>
  <c r="D16" i="17"/>
  <c r="C16" i="17" s="1"/>
  <c r="E16" i="17"/>
  <c r="D17" i="17"/>
  <c r="C17" i="17" s="1"/>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124" i="18"/>
  <c r="D125" i="18"/>
  <c r="D126" i="18"/>
  <c r="D127" i="18"/>
  <c r="D128" i="18"/>
  <c r="D129" i="18"/>
  <c r="D130" i="18"/>
  <c r="D131" i="18"/>
  <c r="D132" i="18"/>
  <c r="D133" i="18"/>
  <c r="D134" i="18"/>
  <c r="D135" i="18"/>
  <c r="D136" i="18"/>
  <c r="D137" i="18"/>
  <c r="D138" i="18"/>
  <c r="D139" i="18"/>
  <c r="D140" i="18"/>
  <c r="D141" i="18"/>
  <c r="D142" i="18"/>
  <c r="D143" i="18"/>
  <c r="D144" i="18"/>
  <c r="D145" i="18"/>
  <c r="D146" i="18"/>
  <c r="D147" i="18"/>
  <c r="D148" i="18"/>
  <c r="D149" i="18"/>
  <c r="D150" i="18"/>
  <c r="D151" i="18"/>
  <c r="D152" i="18"/>
  <c r="D153" i="18"/>
  <c r="D154" i="18"/>
  <c r="D155" i="18"/>
  <c r="D156" i="18"/>
  <c r="D157" i="18"/>
  <c r="D158" i="18"/>
  <c r="D38" i="18"/>
  <c r="F18" i="12"/>
  <c r="E7" i="18"/>
  <c r="E8" i="18"/>
  <c r="E9" i="18"/>
  <c r="E13" i="18"/>
  <c r="E10" i="18"/>
  <c r="E11" i="18"/>
  <c r="E12" i="18"/>
  <c r="E14" i="18"/>
  <c r="E15" i="18"/>
  <c r="E17" i="18"/>
  <c r="E16" i="18"/>
  <c r="C7" i="18"/>
  <c r="D8" i="18"/>
  <c r="C8" i="18" s="1"/>
  <c r="F15" i="12" s="1"/>
  <c r="D13" i="18"/>
  <c r="C13" i="18" s="1"/>
  <c r="F12" i="12" s="1"/>
  <c r="D10" i="18"/>
  <c r="C10" i="18" s="1"/>
  <c r="D11" i="18"/>
  <c r="C11" i="18" s="1"/>
  <c r="D12" i="18"/>
  <c r="C12" i="18" s="1"/>
  <c r="F14" i="12" s="1"/>
  <c r="D14" i="18"/>
  <c r="C14" i="18" s="1"/>
  <c r="F21" i="12" s="1"/>
  <c r="D15" i="18"/>
  <c r="C15" i="18" s="1"/>
  <c r="F22" i="12" s="1"/>
  <c r="D17" i="18"/>
  <c r="C17" i="18" s="1"/>
  <c r="D16" i="18"/>
  <c r="C16" i="18" s="1"/>
  <c r="F26" i="12" s="1"/>
  <c r="D21" i="18"/>
  <c r="C21" i="18" s="1"/>
  <c r="F36" i="12" s="1"/>
  <c r="D18" i="18"/>
  <c r="C18" i="18" s="1"/>
  <c r="D19" i="18"/>
  <c r="C19" i="18" s="1"/>
  <c r="D20" i="18"/>
  <c r="C20" i="18" s="1"/>
  <c r="D22" i="18"/>
  <c r="C22" i="18" s="1"/>
  <c r="F37" i="12" s="1"/>
  <c r="D23" i="18"/>
  <c r="C23" i="18" s="1"/>
  <c r="D24" i="18"/>
  <c r="C24" i="18" s="1"/>
  <c r="F34" i="12" s="1"/>
  <c r="C26" i="18"/>
  <c r="D28" i="18"/>
  <c r="C28" i="18" s="1"/>
  <c r="D27" i="18"/>
  <c r="C27" i="18" s="1"/>
  <c r="F35" i="12" s="1"/>
  <c r="D25" i="18"/>
  <c r="C25" i="18" s="1"/>
  <c r="F33" i="12" l="1"/>
  <c r="F25" i="12"/>
  <c r="F24" i="12"/>
  <c r="F10" i="12"/>
  <c r="F29" i="12"/>
  <c r="F30" i="12"/>
  <c r="F28" i="12"/>
  <c r="F19" i="12"/>
  <c r="F32" i="12"/>
  <c r="F31" i="12"/>
  <c r="F27" i="12"/>
  <c r="F20" i="12"/>
  <c r="F17" i="12"/>
  <c r="C22" i="17"/>
  <c r="C34" i="18"/>
  <c r="F9" i="12"/>
  <c r="D22" i="17"/>
  <c r="D34" i="18"/>
  <c r="E43" i="12"/>
  <c r="C44" i="12"/>
  <c r="C7" i="12" s="1"/>
  <c r="J38" i="12"/>
  <c r="J37" i="12"/>
  <c r="J35" i="12"/>
  <c r="J36" i="12"/>
  <c r="J34" i="12"/>
  <c r="J33" i="12"/>
  <c r="J32" i="12"/>
  <c r="J31" i="12"/>
  <c r="J30" i="12"/>
  <c r="J29" i="12"/>
  <c r="J28" i="12"/>
  <c r="J27" i="12"/>
  <c r="J26" i="12"/>
  <c r="J25" i="12"/>
  <c r="J24" i="12"/>
  <c r="J22" i="12"/>
  <c r="J21" i="12"/>
  <c r="J20" i="12"/>
  <c r="J19" i="12"/>
  <c r="J18" i="12"/>
  <c r="J17" i="12"/>
  <c r="J16" i="12"/>
  <c r="J15" i="12"/>
  <c r="J14" i="12"/>
  <c r="J13" i="12"/>
  <c r="J12" i="12"/>
  <c r="J11" i="12"/>
  <c r="J10" i="12"/>
  <c r="J9" i="12"/>
  <c r="B31" i="11"/>
  <c r="B32" i="11"/>
  <c r="B33" i="11"/>
  <c r="B34" i="11"/>
  <c r="B35" i="11"/>
  <c r="B36" i="11"/>
  <c r="B37" i="11"/>
  <c r="B38" i="11"/>
  <c r="B39" i="11"/>
  <c r="B40" i="11"/>
  <c r="F40" i="12" l="1"/>
  <c r="E27" i="11" l="1"/>
  <c r="D20" i="2"/>
  <c r="C20" i="2" s="1"/>
  <c r="C29" i="12" s="1"/>
  <c r="E20" i="2"/>
  <c r="H16" i="12" l="1"/>
  <c r="D18" i="4"/>
  <c r="E18" i="4"/>
  <c r="C18" i="4" l="1"/>
  <c r="D11" i="6"/>
  <c r="C11" i="6" s="1"/>
  <c r="E11" i="6"/>
  <c r="E14" i="8" l="1"/>
  <c r="D14" i="8"/>
  <c r="C14" i="8" s="1"/>
  <c r="D9" i="7"/>
  <c r="C9" i="7" s="1"/>
  <c r="E9" i="7"/>
  <c r="D14" i="7"/>
  <c r="C14" i="7" s="1"/>
  <c r="E14" i="7"/>
  <c r="D12" i="7"/>
  <c r="C12" i="7" s="1"/>
  <c r="E12" i="7"/>
  <c r="D11" i="7"/>
  <c r="C11" i="7" s="1"/>
  <c r="E11" i="7"/>
  <c r="D13" i="7"/>
  <c r="E13" i="7"/>
  <c r="D10" i="7"/>
  <c r="C10" i="7" s="1"/>
  <c r="E10" i="7"/>
  <c r="D17" i="7"/>
  <c r="C17" i="7" s="1"/>
  <c r="E17" i="7"/>
  <c r="D15" i="7"/>
  <c r="C15" i="7" s="1"/>
  <c r="E15" i="7"/>
  <c r="D16" i="7"/>
  <c r="C16" i="7" s="1"/>
  <c r="E16" i="7"/>
  <c r="D19" i="7"/>
  <c r="C19" i="7" s="1"/>
  <c r="E19" i="7"/>
  <c r="D18" i="7"/>
  <c r="C18" i="7" s="1"/>
  <c r="E18" i="7"/>
  <c r="D20" i="7"/>
  <c r="C20" i="7" s="1"/>
  <c r="E20" i="7"/>
  <c r="C13" i="7" l="1"/>
  <c r="D29" i="9" l="1"/>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28" i="9"/>
  <c r="D7" i="9"/>
  <c r="C7" i="9" s="1"/>
  <c r="K13" i="12"/>
  <c r="D9" i="9"/>
  <c r="C9" i="9" s="1"/>
  <c r="D10" i="9"/>
  <c r="C10" i="9" s="1"/>
  <c r="D11" i="9"/>
  <c r="C11" i="9" s="1"/>
  <c r="D12" i="9"/>
  <c r="C12" i="9" s="1"/>
  <c r="D13" i="9"/>
  <c r="C13" i="9" s="1"/>
  <c r="D6" i="9"/>
  <c r="C6" i="9" s="1"/>
  <c r="D8" i="9"/>
  <c r="C8" i="9" s="1"/>
  <c r="C15" i="9"/>
  <c r="D9" i="8"/>
  <c r="C9" i="8" s="1"/>
  <c r="E9" i="8"/>
  <c r="D6" i="7"/>
  <c r="C6" i="7" s="1"/>
  <c r="E6" i="7"/>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27" i="5"/>
  <c r="D20" i="5"/>
  <c r="C20" i="5" s="1"/>
  <c r="D11" i="5"/>
  <c r="C11" i="5" s="1"/>
  <c r="D12" i="5"/>
  <c r="C12" i="5" s="1"/>
  <c r="D14" i="5"/>
  <c r="C14" i="5" s="1"/>
  <c r="D15" i="5"/>
  <c r="C15" i="5" s="1"/>
  <c r="D16" i="5"/>
  <c r="C16" i="5" s="1"/>
  <c r="D19" i="5"/>
  <c r="C19" i="5" s="1"/>
  <c r="D17" i="5"/>
  <c r="C17" i="5" s="1"/>
  <c r="D10" i="5"/>
  <c r="C10" i="5" s="1"/>
  <c r="D18" i="5"/>
  <c r="C18" i="5" s="1"/>
  <c r="D6" i="5"/>
  <c r="C6" i="5" s="1"/>
  <c r="E9" i="12" s="1"/>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27" i="4"/>
  <c r="D6" i="4"/>
  <c r="C6" i="4" s="1"/>
  <c r="E6" i="4"/>
  <c r="H17" i="12" l="1"/>
  <c r="H11" i="12"/>
  <c r="C24" i="9"/>
  <c r="G11" i="12" l="1"/>
  <c r="K11" i="12"/>
  <c r="D35" i="12" l="1"/>
  <c r="E35" i="12"/>
  <c r="I35" i="12"/>
  <c r="K35" i="12"/>
  <c r="B35" i="12"/>
  <c r="D36" i="6" l="1"/>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35" i="6"/>
  <c r="D7" i="6"/>
  <c r="C7" i="6" s="1"/>
  <c r="D10" i="6"/>
  <c r="C10" i="6" s="1"/>
  <c r="D28" i="6"/>
  <c r="C28" i="6" s="1"/>
  <c r="D12" i="6"/>
  <c r="C12" i="6" s="1"/>
  <c r="D8" i="6"/>
  <c r="C8" i="6" s="1"/>
  <c r="D13" i="6"/>
  <c r="C13" i="6" s="1"/>
  <c r="D14" i="6"/>
  <c r="C14" i="6" s="1"/>
  <c r="D15" i="6"/>
  <c r="C15" i="6" s="1"/>
  <c r="D16" i="6"/>
  <c r="C16" i="6" s="1"/>
  <c r="D17" i="6"/>
  <c r="C17" i="6" s="1"/>
  <c r="D18" i="6"/>
  <c r="C18" i="6" s="1"/>
  <c r="D19" i="6"/>
  <c r="C19" i="6" s="1"/>
  <c r="D21" i="6"/>
  <c r="C21" i="6" s="1"/>
  <c r="D20" i="6"/>
  <c r="C20" i="6" s="1"/>
  <c r="D22" i="6"/>
  <c r="C22" i="6" s="1"/>
  <c r="D23" i="6"/>
  <c r="C23" i="6" s="1"/>
  <c r="D24" i="6"/>
  <c r="C24" i="6" s="1"/>
  <c r="D25" i="6"/>
  <c r="C25" i="6" s="1"/>
  <c r="D26" i="6"/>
  <c r="C26" i="6" s="1"/>
  <c r="D27" i="6"/>
  <c r="C27" i="6" s="1"/>
  <c r="G35" i="12" s="1"/>
  <c r="D6" i="6"/>
  <c r="C6" i="6" s="1"/>
  <c r="C31" i="6" l="1"/>
  <c r="D19" i="4"/>
  <c r="D7" i="4"/>
  <c r="C7" i="4" s="1"/>
  <c r="D9" i="4"/>
  <c r="C9" i="4" s="1"/>
  <c r="D10" i="4"/>
  <c r="C10" i="4" s="1"/>
  <c r="D11" i="4"/>
  <c r="C11" i="4" s="1"/>
  <c r="D16" i="4"/>
  <c r="C16" i="4" s="1"/>
  <c r="D12" i="4"/>
  <c r="C12" i="4" s="1"/>
  <c r="D14" i="4"/>
  <c r="C14" i="4" s="1"/>
  <c r="D17" i="4"/>
  <c r="C17" i="4" s="1"/>
  <c r="D13" i="4"/>
  <c r="C13" i="4" s="1"/>
  <c r="D15" i="4"/>
  <c r="C15" i="4" s="1"/>
  <c r="C19" i="4" l="1"/>
  <c r="C23" i="4" s="1"/>
  <c r="D23" i="4"/>
  <c r="E19" i="4"/>
  <c r="E8" i="4"/>
  <c r="E7" i="4"/>
  <c r="E9" i="4"/>
  <c r="E10" i="4"/>
  <c r="E11" i="4"/>
  <c r="E16" i="4"/>
  <c r="E12" i="4"/>
  <c r="E14" i="4"/>
  <c r="E17" i="4"/>
  <c r="E13" i="4"/>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27" i="8"/>
  <c r="D21" i="8"/>
  <c r="C21" i="8" s="1"/>
  <c r="E21" i="8"/>
  <c r="D8" i="8"/>
  <c r="C8" i="8" s="1"/>
  <c r="I13" i="12" s="1"/>
  <c r="E8" i="8"/>
  <c r="D10" i="8"/>
  <c r="C10" i="8" s="1"/>
  <c r="E10" i="8"/>
  <c r="D12" i="8"/>
  <c r="C12" i="8" s="1"/>
  <c r="E12" i="8"/>
  <c r="D6" i="8"/>
  <c r="C6" i="8" s="1"/>
  <c r="I11" i="12" s="1"/>
  <c r="E6" i="8"/>
  <c r="D15" i="8"/>
  <c r="C15" i="8" s="1"/>
  <c r="E15" i="8"/>
  <c r="D17" i="8"/>
  <c r="C17" i="8" s="1"/>
  <c r="E17" i="8"/>
  <c r="D11" i="8"/>
  <c r="C11" i="8" s="1"/>
  <c r="E11" i="8"/>
  <c r="D18" i="8"/>
  <c r="C18" i="8" s="1"/>
  <c r="E18" i="8"/>
  <c r="D16" i="8"/>
  <c r="C16" i="8" s="1"/>
  <c r="E16" i="8"/>
  <c r="D13" i="8"/>
  <c r="C13" i="8" s="1"/>
  <c r="E13" i="8"/>
  <c r="D19" i="8"/>
  <c r="C19" i="8" s="1"/>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28" i="7"/>
  <c r="D7" i="7"/>
  <c r="C7" i="7" s="1"/>
  <c r="H35" i="12"/>
  <c r="D8" i="7"/>
  <c r="D8"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27" i="2"/>
  <c r="D6" i="2"/>
  <c r="C6" i="2" s="1"/>
  <c r="C11" i="12" s="1"/>
  <c r="D7" i="2"/>
  <c r="C7" i="2" s="1"/>
  <c r="C15" i="12" s="1"/>
  <c r="D12" i="2"/>
  <c r="C12" i="2" s="1"/>
  <c r="C21" i="12" s="1"/>
  <c r="D13" i="2"/>
  <c r="C13" i="2" s="1"/>
  <c r="C24" i="12" s="1"/>
  <c r="D11" i="2"/>
  <c r="C11" i="2" s="1"/>
  <c r="C22" i="12" s="1"/>
  <c r="D15" i="2"/>
  <c r="C15" i="2" s="1"/>
  <c r="C25" i="12" s="1"/>
  <c r="D14" i="2"/>
  <c r="C14" i="2" s="1"/>
  <c r="C26" i="12" s="1"/>
  <c r="D18" i="2"/>
  <c r="C18" i="2" s="1"/>
  <c r="C28" i="12" s="1"/>
  <c r="D16" i="2"/>
  <c r="C16" i="2" s="1"/>
  <c r="C37" i="12" s="1"/>
  <c r="D17" i="2"/>
  <c r="C17" i="2" s="1"/>
  <c r="C32" i="12" s="1"/>
  <c r="D19" i="2"/>
  <c r="C19" i="2" s="1"/>
  <c r="C27" i="12" s="1"/>
  <c r="C23" i="8" l="1"/>
  <c r="C17" i="12"/>
  <c r="C10" i="12"/>
  <c r="I24" i="12"/>
  <c r="C8" i="2"/>
  <c r="D23" i="2"/>
  <c r="D24" i="7"/>
  <c r="C8" i="7"/>
  <c r="C23" i="2" l="1"/>
  <c r="C24" i="7"/>
  <c r="C31" i="11"/>
  <c r="C32" i="11"/>
  <c r="C33" i="11"/>
  <c r="C34" i="11"/>
  <c r="C35" i="11"/>
  <c r="C36" i="11"/>
  <c r="C37" i="11"/>
  <c r="C38" i="11"/>
  <c r="C39" i="11"/>
  <c r="C40" i="11"/>
  <c r="C30" i="11"/>
  <c r="D30" i="11" s="1"/>
  <c r="E17" i="17" l="1"/>
  <c r="E22" i="17" s="1" a="1"/>
  <c r="E22" i="17" s="1"/>
  <c r="E23" i="17" s="1"/>
  <c r="I20" i="11" l="1"/>
  <c r="J20" i="11" s="1"/>
  <c r="K20" i="11" s="1"/>
  <c r="L20" i="11" s="1"/>
  <c r="E25" i="18" l="1"/>
  <c r="E27" i="18"/>
  <c r="E28" i="18"/>
  <c r="E24" i="18"/>
  <c r="E23" i="18"/>
  <c r="E21" i="18"/>
  <c r="E22" i="18"/>
  <c r="E20" i="18"/>
  <c r="E19" i="18"/>
  <c r="E18" i="18"/>
  <c r="E34" i="18" l="1" a="1"/>
  <c r="E34" i="18" s="1"/>
  <c r="I15" i="11" l="1"/>
  <c r="J15" i="11" s="1"/>
  <c r="K15" i="11" s="1"/>
  <c r="L15" i="11" s="1"/>
  <c r="D32" i="11"/>
  <c r="E44" i="12"/>
  <c r="E7" i="12" s="1"/>
  <c r="D43" i="12"/>
  <c r="K38" i="12"/>
  <c r="I38" i="12"/>
  <c r="H38" i="12"/>
  <c r="G38" i="12"/>
  <c r="E38" i="12"/>
  <c r="D38" i="12"/>
  <c r="B38" i="12"/>
  <c r="K37" i="12"/>
  <c r="I37" i="12"/>
  <c r="H37" i="12"/>
  <c r="G37" i="12"/>
  <c r="E37" i="12"/>
  <c r="D37" i="12"/>
  <c r="B37" i="12"/>
  <c r="K36" i="12"/>
  <c r="I36" i="12"/>
  <c r="H36" i="12"/>
  <c r="G36" i="12"/>
  <c r="E36" i="12"/>
  <c r="D36" i="12"/>
  <c r="B36" i="12"/>
  <c r="K34" i="12"/>
  <c r="I34" i="12"/>
  <c r="H34" i="12"/>
  <c r="G34" i="12"/>
  <c r="E34" i="12"/>
  <c r="D34" i="12"/>
  <c r="K33" i="12"/>
  <c r="I33" i="12"/>
  <c r="H33" i="12"/>
  <c r="G33" i="12"/>
  <c r="E33" i="12"/>
  <c r="D33" i="12"/>
  <c r="B33" i="12"/>
  <c r="K32" i="12"/>
  <c r="I32" i="12"/>
  <c r="H32" i="12"/>
  <c r="G32" i="12"/>
  <c r="E32" i="12"/>
  <c r="D32" i="12"/>
  <c r="B32" i="12"/>
  <c r="K31" i="12"/>
  <c r="I31" i="12"/>
  <c r="H31" i="12"/>
  <c r="G31" i="12"/>
  <c r="E31" i="12"/>
  <c r="D31" i="12"/>
  <c r="B31" i="12"/>
  <c r="K30" i="12"/>
  <c r="I30" i="12"/>
  <c r="H30" i="12"/>
  <c r="G30" i="12"/>
  <c r="E30" i="12"/>
  <c r="D30" i="12"/>
  <c r="B30" i="12"/>
  <c r="K29" i="12"/>
  <c r="I29" i="12"/>
  <c r="H29" i="12"/>
  <c r="G29" i="12"/>
  <c r="E29" i="12"/>
  <c r="D29" i="12"/>
  <c r="B29" i="12"/>
  <c r="K28" i="12"/>
  <c r="I28" i="12"/>
  <c r="H28" i="12"/>
  <c r="G28" i="12"/>
  <c r="E28" i="12"/>
  <c r="D28" i="12"/>
  <c r="B28" i="12"/>
  <c r="K27" i="12"/>
  <c r="I27" i="12"/>
  <c r="H27" i="12"/>
  <c r="G27" i="12"/>
  <c r="E27" i="12"/>
  <c r="D27" i="12"/>
  <c r="B27" i="12"/>
  <c r="K26" i="12"/>
  <c r="I26" i="12"/>
  <c r="H26" i="12"/>
  <c r="G26" i="12"/>
  <c r="E26" i="12"/>
  <c r="D26" i="12"/>
  <c r="B26" i="12"/>
  <c r="K25" i="12"/>
  <c r="I25" i="12"/>
  <c r="H25" i="12"/>
  <c r="G25" i="12"/>
  <c r="E25" i="12"/>
  <c r="D25" i="12"/>
  <c r="B25" i="12"/>
  <c r="K24" i="12"/>
  <c r="H24" i="12"/>
  <c r="G24" i="12"/>
  <c r="E24" i="12"/>
  <c r="D24" i="12"/>
  <c r="B24" i="12"/>
  <c r="K22" i="12"/>
  <c r="I22" i="12"/>
  <c r="H22" i="12"/>
  <c r="G22" i="12"/>
  <c r="E22" i="12"/>
  <c r="D22" i="12"/>
  <c r="B22" i="12"/>
  <c r="K21" i="12"/>
  <c r="I21" i="12"/>
  <c r="H21" i="12"/>
  <c r="G21" i="12"/>
  <c r="E21" i="12"/>
  <c r="D21" i="12"/>
  <c r="B21" i="12"/>
  <c r="K20" i="12"/>
  <c r="I20" i="12"/>
  <c r="H20" i="12"/>
  <c r="G20" i="12"/>
  <c r="E20" i="12"/>
  <c r="D20" i="12"/>
  <c r="B20" i="12"/>
  <c r="K19" i="12"/>
  <c r="I19" i="12"/>
  <c r="H19" i="12"/>
  <c r="G19" i="12"/>
  <c r="E19" i="12"/>
  <c r="D19" i="12"/>
  <c r="B19" i="12"/>
  <c r="K15" i="12"/>
  <c r="I15" i="12"/>
  <c r="H15" i="12"/>
  <c r="G15" i="12"/>
  <c r="E15" i="12"/>
  <c r="D15" i="12"/>
  <c r="B15" i="12"/>
  <c r="K18" i="12"/>
  <c r="I18" i="12"/>
  <c r="H18" i="12"/>
  <c r="G18" i="12"/>
  <c r="E18" i="12"/>
  <c r="D18" i="12"/>
  <c r="B18" i="12"/>
  <c r="K17" i="12"/>
  <c r="I17" i="12"/>
  <c r="G17" i="12"/>
  <c r="E17" i="12"/>
  <c r="D17" i="12"/>
  <c r="B17" i="12"/>
  <c r="K14" i="12"/>
  <c r="I14" i="12"/>
  <c r="H14" i="12"/>
  <c r="G14" i="12"/>
  <c r="E14" i="12"/>
  <c r="D14" i="12"/>
  <c r="B14" i="12"/>
  <c r="K16" i="12"/>
  <c r="I16" i="12"/>
  <c r="G16" i="12"/>
  <c r="E16" i="12"/>
  <c r="D16" i="12"/>
  <c r="B16" i="12"/>
  <c r="H13" i="12"/>
  <c r="G13" i="12"/>
  <c r="E13" i="12"/>
  <c r="D13" i="12"/>
  <c r="B13" i="12"/>
  <c r="K12" i="12"/>
  <c r="I12" i="12"/>
  <c r="H12" i="12"/>
  <c r="G12" i="12"/>
  <c r="E12" i="12"/>
  <c r="D12" i="12"/>
  <c r="B12" i="12"/>
  <c r="E11" i="12"/>
  <c r="D11" i="12"/>
  <c r="B11" i="12"/>
  <c r="K10" i="12"/>
  <c r="I10" i="12"/>
  <c r="H10" i="12"/>
  <c r="G10" i="12"/>
  <c r="E10" i="12"/>
  <c r="D10" i="12"/>
  <c r="B10" i="12"/>
  <c r="K9" i="12"/>
  <c r="I9" i="12"/>
  <c r="H9" i="12"/>
  <c r="G9" i="12"/>
  <c r="D9" i="12"/>
  <c r="C9" i="12"/>
  <c r="C40" i="12" s="1"/>
  <c r="B9" i="12"/>
  <c r="D24" i="9"/>
  <c r="E8" i="9"/>
  <c r="E6" i="9"/>
  <c r="E13" i="9"/>
  <c r="E12" i="9"/>
  <c r="E11" i="9"/>
  <c r="E10" i="9"/>
  <c r="E9" i="9"/>
  <c r="E7" i="9"/>
  <c r="D23" i="8"/>
  <c r="E19" i="8"/>
  <c r="E23" i="8" s="1" a="1"/>
  <c r="E23" i="8" s="1"/>
  <c r="E24" i="8" s="1"/>
  <c r="E7" i="7"/>
  <c r="E8" i="7"/>
  <c r="D31" i="6"/>
  <c r="E27" i="6"/>
  <c r="E26" i="6"/>
  <c r="E25" i="6"/>
  <c r="E24" i="6"/>
  <c r="E23" i="6"/>
  <c r="E22" i="6"/>
  <c r="E20" i="6"/>
  <c r="E21" i="6"/>
  <c r="E19" i="6"/>
  <c r="E18" i="6"/>
  <c r="E17" i="6"/>
  <c r="E16" i="6"/>
  <c r="E15" i="6"/>
  <c r="E14" i="6"/>
  <c r="E13" i="6"/>
  <c r="E8" i="6"/>
  <c r="E12" i="6"/>
  <c r="E28" i="6"/>
  <c r="E10" i="6"/>
  <c r="E7" i="6"/>
  <c r="E6" i="6"/>
  <c r="D23" i="5"/>
  <c r="C23" i="5"/>
  <c r="E18" i="5"/>
  <c r="E10" i="5"/>
  <c r="E17" i="5"/>
  <c r="E19" i="5"/>
  <c r="E16" i="5"/>
  <c r="E15" i="5"/>
  <c r="E14" i="5"/>
  <c r="E12" i="5"/>
  <c r="E11" i="5"/>
  <c r="E20" i="5"/>
  <c r="E6" i="5"/>
  <c r="E15" i="4"/>
  <c r="E19" i="2"/>
  <c r="E17" i="2"/>
  <c r="E16" i="2"/>
  <c r="E18" i="2"/>
  <c r="E14" i="2"/>
  <c r="E15" i="2"/>
  <c r="E11" i="2"/>
  <c r="E13" i="2"/>
  <c r="E12" i="2"/>
  <c r="E7" i="2"/>
  <c r="E6" i="2"/>
  <c r="E8" i="2"/>
  <c r="I19" i="11" l="1"/>
  <c r="G41" i="12" a="1"/>
  <c r="G41" i="12" s="1"/>
  <c r="E40" i="12"/>
  <c r="E24" i="7" a="1"/>
  <c r="E24" i="7" s="1"/>
  <c r="E25" i="7" s="1"/>
  <c r="E23" i="2" a="1"/>
  <c r="E23" i="2" s="1"/>
  <c r="E24" i="2" s="1"/>
  <c r="E31" i="6" a="1"/>
  <c r="E31" i="6" s="1"/>
  <c r="E32" i="6" s="1"/>
  <c r="G40" i="12"/>
  <c r="I40" i="12"/>
  <c r="D44" i="12"/>
  <c r="D7" i="12" s="1"/>
  <c r="F41" i="12" a="1"/>
  <c r="F41" i="12" s="1"/>
  <c r="E24" i="9" a="1"/>
  <c r="E24" i="9" s="1"/>
  <c r="E25" i="9" s="1"/>
  <c r="C41" i="12" a="1"/>
  <c r="C41" i="12" s="1"/>
  <c r="C45" i="12" s="1"/>
  <c r="J41" i="12" a="1"/>
  <c r="J41" i="12" s="1"/>
  <c r="J40" i="12"/>
  <c r="H40" i="12"/>
  <c r="D35" i="11"/>
  <c r="D39" i="11"/>
  <c r="D36" i="11"/>
  <c r="D38" i="11"/>
  <c r="D33" i="11"/>
  <c r="D37" i="11"/>
  <c r="E23" i="5"/>
  <c r="E24" i="5" s="1"/>
  <c r="D31" i="11"/>
  <c r="D34" i="11"/>
  <c r="D40" i="11"/>
  <c r="E23" i="4"/>
  <c r="E24" i="4" s="1"/>
  <c r="D40" i="12"/>
  <c r="K40" i="12"/>
  <c r="I21" i="11" l="1"/>
  <c r="J21" i="11" s="1"/>
  <c r="K21" i="11" s="1"/>
  <c r="I11" i="11"/>
  <c r="J11" i="11" s="1"/>
  <c r="K11" i="11" s="1"/>
  <c r="I17" i="11"/>
  <c r="J17" i="11" s="1"/>
  <c r="K17" i="11" s="1"/>
  <c r="I12" i="11"/>
  <c r="J12" i="11" s="1"/>
  <c r="K12" i="11" s="1"/>
  <c r="I13" i="11"/>
  <c r="J13" i="11" s="1"/>
  <c r="K13" i="11" s="1"/>
  <c r="L13" i="11" s="1"/>
  <c r="M13" i="11" s="1"/>
  <c r="I16" i="11"/>
  <c r="J16" i="11" s="1"/>
  <c r="K16" i="11" s="1"/>
  <c r="J19" i="11"/>
  <c r="K19" i="11" s="1"/>
  <c r="L11" i="11" l="1"/>
  <c r="M11" i="11" s="1"/>
  <c r="H41" i="12"/>
  <c r="K41" i="12"/>
  <c r="L19" i="11"/>
  <c r="L12" i="11"/>
  <c r="M12" i="11" s="1"/>
  <c r="I41" i="12"/>
  <c r="E41" i="12"/>
  <c r="E45" i="12" s="1"/>
  <c r="L17" i="11"/>
  <c r="L16" i="11"/>
  <c r="D41" i="12"/>
  <c r="D45" i="12" s="1"/>
  <c r="L21" i="11"/>
  <c r="M24" i="11" l="1"/>
  <c r="B16" i="11" l="1"/>
  <c r="H16" i="11" l="1"/>
  <c r="F16" i="11"/>
  <c r="M15" i="11"/>
  <c r="F43" i="12"/>
  <c r="F44" i="12" l="1"/>
  <c r="F45" i="12"/>
  <c r="F7" i="12" l="1"/>
  <c r="B17" i="11"/>
  <c r="M16" i="11"/>
  <c r="H17" i="11" l="1"/>
  <c r="F17" i="11"/>
  <c r="G43" i="12"/>
  <c r="G45" i="12" l="1"/>
  <c r="G44" i="12"/>
  <c r="G7" i="12" l="1"/>
  <c r="H43" i="12"/>
  <c r="M17" i="11"/>
  <c r="M25" i="11" s="1"/>
  <c r="H19" i="11" l="1"/>
  <c r="H45" i="12"/>
  <c r="H44" i="12"/>
  <c r="B20" i="11" l="1"/>
  <c r="H20" i="11" s="1"/>
  <c r="H7" i="12"/>
  <c r="I43" i="12"/>
  <c r="M19" i="11"/>
  <c r="H21" i="11" l="1"/>
  <c r="H26" i="11" s="1"/>
  <c r="M20" i="11"/>
  <c r="J43" i="12"/>
  <c r="I45" i="12"/>
  <c r="I44" i="12"/>
  <c r="G26" i="11" l="1"/>
  <c r="H27" i="11"/>
  <c r="G27" i="11" s="1"/>
  <c r="J45" i="12"/>
  <c r="J44" i="12"/>
  <c r="J7" i="12" s="1"/>
  <c r="I7" i="12"/>
  <c r="K43" i="12"/>
  <c r="M21" i="11"/>
  <c r="M26" i="11" s="1"/>
  <c r="M27" i="11" s="1"/>
  <c r="K44" i="12" l="1"/>
  <c r="K45" i="12"/>
  <c r="L45" i="12" s="1"/>
  <c r="L43" i="12"/>
  <c r="K7" i="12" l="1"/>
  <c r="L44" i="12"/>
  <c r="N24" i="12" l="1" a="1"/>
  <c r="N24" i="12" s="1"/>
  <c r="O24" i="12" s="1"/>
  <c r="N11" i="12"/>
  <c r="O11" i="12" s="1"/>
  <c r="N26" i="12"/>
  <c r="O26" i="12" s="1"/>
  <c r="N33" i="12"/>
  <c r="O33" i="12" s="1"/>
  <c r="N13" i="12" a="1"/>
  <c r="N13" i="12" s="1"/>
  <c r="O13" i="12" s="1"/>
  <c r="N34" i="12"/>
  <c r="O34" i="12" s="1"/>
  <c r="N22" i="12"/>
  <c r="O22" i="12" s="1"/>
  <c r="N16" i="12"/>
  <c r="O16" i="12" s="1"/>
  <c r="N27" i="12"/>
  <c r="O27" i="12" s="1"/>
  <c r="N10" i="12"/>
  <c r="O10" i="12" s="1"/>
  <c r="N28" i="12"/>
  <c r="O28" i="12" s="1"/>
  <c r="N31" i="12"/>
  <c r="O31" i="12" s="1"/>
  <c r="N15" i="12"/>
  <c r="O15" i="12" s="1"/>
  <c r="N18" i="12"/>
  <c r="O18" i="12" s="1"/>
  <c r="N12" i="12"/>
  <c r="O12" i="12" s="1"/>
  <c r="N29" i="12"/>
  <c r="O29" i="12" s="1"/>
  <c r="N37" i="12"/>
  <c r="O37" i="12" s="1"/>
  <c r="N32" i="12"/>
  <c r="O32" i="12" s="1"/>
  <c r="N25" i="12"/>
  <c r="O25" i="12" s="1"/>
  <c r="N17" i="12"/>
  <c r="O17" i="12" s="1"/>
  <c r="N35" i="12"/>
  <c r="O35" i="12" s="1"/>
  <c r="N19" i="12"/>
  <c r="O19" i="12" s="1"/>
  <c r="N20" i="12"/>
  <c r="O20" i="12" s="1"/>
  <c r="N30" i="12"/>
  <c r="O30" i="12" s="1"/>
  <c r="N14" i="12"/>
  <c r="O14" i="12" s="1"/>
  <c r="N21" i="12"/>
  <c r="O21" i="12" s="1"/>
  <c r="N9" i="12" a="1"/>
  <c r="N9" i="12" s="1"/>
  <c r="L7" i="12"/>
  <c r="N38" i="12"/>
  <c r="O38" i="12" s="1"/>
  <c r="N36" i="12"/>
  <c r="O36" i="12" s="1"/>
  <c r="O9" i="12" l="1"/>
  <c r="N4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Vicente Zamora</author>
  </authors>
  <commentList>
    <comment ref="O7" authorId="0" shapeId="0" xr:uid="{00000000-0006-0000-0A00-000001000000}">
      <text>
        <r>
          <rPr>
            <b/>
            <sz val="9"/>
            <color indexed="81"/>
            <rFont val="Tahoma"/>
            <family val="2"/>
          </rPr>
          <t>Vicente Zamora:</t>
        </r>
        <r>
          <rPr>
            <sz val="9"/>
            <color indexed="81"/>
            <rFont val="Tahoma"/>
            <family val="2"/>
          </rPr>
          <t xml:space="preserve">
*Truck Load Size in metric tonnes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<sst xmlns="http://schemas.openxmlformats.org/spreadsheetml/2006/main" count="9912" uniqueCount="322">
  <si>
    <t>RM CODE</t>
  </si>
  <si>
    <t>INGREDIENT NAME</t>
  </si>
  <si>
    <r>
      <t xml:space="preserve">AMOUNT,
</t>
    </r>
    <r>
      <rPr>
        <sz val="12"/>
        <color theme="1"/>
        <rFont val="Cambria"/>
        <family val="1"/>
      </rPr>
      <t>kg/tonne</t>
    </r>
  </si>
  <si>
    <r>
      <t xml:space="preserve">LEVEL,
</t>
    </r>
    <r>
      <rPr>
        <sz val="12"/>
        <color theme="1"/>
        <rFont val="Cambria"/>
        <family val="1"/>
      </rPr>
      <t>%</t>
    </r>
  </si>
  <si>
    <r>
      <t xml:space="preserve">ING. PRICING,
</t>
    </r>
    <r>
      <rPr>
        <sz val="12"/>
        <color theme="1"/>
        <rFont val="Cambria"/>
        <family val="1"/>
      </rPr>
      <t>$/tonne</t>
    </r>
  </si>
  <si>
    <t>INCLUDED</t>
  </si>
  <si>
    <t>TOTAL INGREDIENTS:</t>
  </si>
  <si>
    <t>NUTRIENTS</t>
  </si>
  <si>
    <t>UNITS</t>
  </si>
  <si>
    <t>ACTUAL</t>
  </si>
  <si>
    <t>L-Lysine HCl 99.0%</t>
  </si>
  <si>
    <t>L-Threonine 98.5%</t>
  </si>
  <si>
    <t>Choline Chloride 60%</t>
  </si>
  <si>
    <t>DL-Methionine 99.0%</t>
  </si>
  <si>
    <t>L-Tryptophan 98.0%</t>
  </si>
  <si>
    <t>Faba Beans</t>
  </si>
  <si>
    <t>Corn 8.0% CP</t>
  </si>
  <si>
    <t>Barley 10.0% CP</t>
  </si>
  <si>
    <t>[VOLUME]</t>
  </si>
  <si>
    <t>%</t>
  </si>
  <si>
    <t>DM</t>
  </si>
  <si>
    <t>CP</t>
  </si>
  <si>
    <t>EE</t>
  </si>
  <si>
    <t>CF</t>
  </si>
  <si>
    <t>ASH</t>
  </si>
  <si>
    <t>MOISTURE</t>
  </si>
  <si>
    <t>NDF</t>
  </si>
  <si>
    <t>ADF</t>
  </si>
  <si>
    <t>STARCH TOT</t>
  </si>
  <si>
    <t>DE</t>
  </si>
  <si>
    <t>Mcal/kg</t>
  </si>
  <si>
    <t>ME</t>
  </si>
  <si>
    <t>NE GFL</t>
  </si>
  <si>
    <t>NE AP</t>
  </si>
  <si>
    <t>CA</t>
  </si>
  <si>
    <t>P</t>
  </si>
  <si>
    <t>AV P</t>
  </si>
  <si>
    <t>DIG P</t>
  </si>
  <si>
    <t>STTD P</t>
  </si>
  <si>
    <t>IP</t>
  </si>
  <si>
    <t>PHY AV P</t>
  </si>
  <si>
    <t>PHY DIG P</t>
  </si>
  <si>
    <t>PHY STTD P</t>
  </si>
  <si>
    <t>FTU</t>
  </si>
  <si>
    <t>FTU/kg</t>
  </si>
  <si>
    <t>CA:P</t>
  </si>
  <si>
    <t>Ratio</t>
  </si>
  <si>
    <t>CA:AV P</t>
  </si>
  <si>
    <t>CA:DIG P</t>
  </si>
  <si>
    <t>NA</t>
  </si>
  <si>
    <t>K</t>
  </si>
  <si>
    <t>CL</t>
  </si>
  <si>
    <t>MG</t>
  </si>
  <si>
    <t>S</t>
  </si>
  <si>
    <t>LYS</t>
  </si>
  <si>
    <t>SD LYS</t>
  </si>
  <si>
    <t>SD MET:LYS</t>
  </si>
  <si>
    <t>SD CYS:LYS</t>
  </si>
  <si>
    <t>SD M+C:LYS</t>
  </si>
  <si>
    <t>SD THR:LYS</t>
  </si>
  <si>
    <t>SD TRP:LYS</t>
  </si>
  <si>
    <t>SD ILE:LYS</t>
  </si>
  <si>
    <t>SD VAL:LYS</t>
  </si>
  <si>
    <t>SD LEU:LYS</t>
  </si>
  <si>
    <t>SD ARG:LYS</t>
  </si>
  <si>
    <t>SD HIS:LYS</t>
  </si>
  <si>
    <t>SD PHE:LYS</t>
  </si>
  <si>
    <t>SD TYR:LYS</t>
  </si>
  <si>
    <t>SD P+T:LYS</t>
  </si>
  <si>
    <t>SD LYS G</t>
  </si>
  <si>
    <t>g/kg</t>
  </si>
  <si>
    <t>SD LYS:NE</t>
  </si>
  <si>
    <t>g/Mcal</t>
  </si>
  <si>
    <t>SD LYS:NES</t>
  </si>
  <si>
    <t>SD MET</t>
  </si>
  <si>
    <t>SD CYS</t>
  </si>
  <si>
    <t>SD M+C</t>
  </si>
  <si>
    <t>SD THR</t>
  </si>
  <si>
    <t>SD TRP</t>
  </si>
  <si>
    <t>SD ILE</t>
  </si>
  <si>
    <t>SD VAL</t>
  </si>
  <si>
    <t>SD LEU</t>
  </si>
  <si>
    <t>FE</t>
  </si>
  <si>
    <t>mg/kg</t>
  </si>
  <si>
    <t>CU</t>
  </si>
  <si>
    <t>ZN</t>
  </si>
  <si>
    <t>MN</t>
  </si>
  <si>
    <t>SE</t>
  </si>
  <si>
    <t>I</t>
  </si>
  <si>
    <t>VIT A</t>
  </si>
  <si>
    <t>IU/kg</t>
  </si>
  <si>
    <t>VIT D3</t>
  </si>
  <si>
    <t>VIT E</t>
  </si>
  <si>
    <t>VIT K3</t>
  </si>
  <si>
    <t>VIT B1</t>
  </si>
  <si>
    <t>VIT B2</t>
  </si>
  <si>
    <t>NIACIN</t>
  </si>
  <si>
    <t>CHOLINE CL</t>
  </si>
  <si>
    <t>PANT ACID</t>
  </si>
  <si>
    <t>VIT B6</t>
  </si>
  <si>
    <t>BIOTIN</t>
  </si>
  <si>
    <t>FOLIC ACID</t>
  </si>
  <si>
    <t>VIT B12</t>
  </si>
  <si>
    <t>IV</t>
  </si>
  <si>
    <t>g/100 g</t>
  </si>
  <si>
    <t>BULK DENSI</t>
  </si>
  <si>
    <t>kg/m3</t>
  </si>
  <si>
    <t>PQF</t>
  </si>
  <si>
    <t>PRICING</t>
  </si>
  <si>
    <t>Corn DDGS</t>
  </si>
  <si>
    <t>Oats Groats 12.0% CP</t>
  </si>
  <si>
    <t>Beet Pulp</t>
  </si>
  <si>
    <t>Canola Meal 36.0% CP</t>
  </si>
  <si>
    <t>Peas 20.0% CP</t>
  </si>
  <si>
    <t>HP 300</t>
  </si>
  <si>
    <t>Whey Permeate</t>
  </si>
  <si>
    <t>Copper Sulfate 25%</t>
  </si>
  <si>
    <t>Zinc Oxide 72%</t>
  </si>
  <si>
    <t>MONTHLY INGREDIENT PRICING</t>
  </si>
  <si>
    <t>LACTOSE</t>
  </si>
  <si>
    <t>FEED COST MODEL</t>
  </si>
  <si>
    <t>DIET DESCRIPTION</t>
  </si>
  <si>
    <t>Initial</t>
  </si>
  <si>
    <t>End</t>
  </si>
  <si>
    <t>DAYS ON
FEED</t>
  </si>
  <si>
    <t>Ingredient</t>
  </si>
  <si>
    <t>Shrink</t>
  </si>
  <si>
    <t>Manufacturing</t>
  </si>
  <si>
    <t>Delivered</t>
  </si>
  <si>
    <t>Item</t>
  </si>
  <si>
    <t>Lactation</t>
  </si>
  <si>
    <t>Dry Sow</t>
  </si>
  <si>
    <t>Starter 2</t>
  </si>
  <si>
    <t>Pre-Grower</t>
  </si>
  <si>
    <t>Finisher</t>
  </si>
  <si>
    <t>Sow &amp; GF</t>
  </si>
  <si>
    <t>SUMMARY</t>
  </si>
  <si>
    <t>Sow:</t>
  </si>
  <si>
    <t>Nursery:</t>
  </si>
  <si>
    <t>Grow-Finish:</t>
  </si>
  <si>
    <t>TOTAL:</t>
  </si>
  <si>
    <t>INGREDIENT</t>
  </si>
  <si>
    <t>MEDS</t>
  </si>
  <si>
    <t>NOTES</t>
  </si>
  <si>
    <t>NM</t>
  </si>
  <si>
    <t>---</t>
  </si>
  <si>
    <t>HISTORICAL FEED PRICING</t>
  </si>
  <si>
    <t>Gilt Developer</t>
  </si>
  <si>
    <r>
      <rPr>
        <b/>
        <sz val="12"/>
        <color theme="1"/>
        <rFont val="Cambria"/>
        <family val="1"/>
      </rPr>
      <t>FEED COST,</t>
    </r>
    <r>
      <rPr>
        <sz val="12"/>
        <color theme="1"/>
        <rFont val="Cambria"/>
        <family val="2"/>
      </rPr>
      <t xml:space="preserve"> $/pig</t>
    </r>
  </si>
  <si>
    <t>Sow</t>
  </si>
  <si>
    <t>Nursery</t>
  </si>
  <si>
    <t>Grow-Finish</t>
  </si>
  <si>
    <t>Period</t>
  </si>
  <si>
    <r>
      <rPr>
        <b/>
        <sz val="12"/>
        <color theme="1"/>
        <rFont val="Cambria"/>
        <family val="1"/>
      </rPr>
      <t>ING. PRICING,</t>
    </r>
    <r>
      <rPr>
        <sz val="12"/>
        <color theme="1"/>
        <rFont val="Cambria"/>
        <family val="2"/>
      </rPr>
      <t xml:space="preserve"> $/tonne</t>
    </r>
  </si>
  <si>
    <t>SUMMARY FCM</t>
  </si>
  <si>
    <t>INGREDIENTS</t>
  </si>
  <si>
    <t>Gestation</t>
  </si>
  <si>
    <t>Gilt Dev.</t>
  </si>
  <si>
    <t>Str 2</t>
  </si>
  <si>
    <t>PG</t>
  </si>
  <si>
    <r>
      <t xml:space="preserve">TOTAL FEED
</t>
    </r>
    <r>
      <rPr>
        <sz val="12"/>
        <color theme="1"/>
        <rFont val="Cambria"/>
        <family val="1"/>
      </rPr>
      <t>tonnes/month</t>
    </r>
  </si>
  <si>
    <t>TOTAL 
INGREDIENTS</t>
  </si>
  <si>
    <t>tonnes/month</t>
  </si>
  <si>
    <t>TRUCK LOADS</t>
  </si>
  <si>
    <t>MAIN INGREDIENTS</t>
  </si>
  <si>
    <t>MONHTLY INGREDIENT USAGE</t>
  </si>
  <si>
    <t>MICRO-INGEDIENTS</t>
  </si>
  <si>
    <t>TOTAL INGREDIETS,</t>
  </si>
  <si>
    <t>TOTAL DIET COST,</t>
  </si>
  <si>
    <t>kg/tonne:</t>
  </si>
  <si>
    <t>$/tonne:</t>
  </si>
  <si>
    <t>EST. FEED BUDGET,</t>
  </si>
  <si>
    <t>EST. FEED USAGE,</t>
  </si>
  <si>
    <t>EST. FEED COST,</t>
  </si>
  <si>
    <t>kg/pig:</t>
  </si>
  <si>
    <t>tonnes/month:</t>
  </si>
  <si>
    <t>$/pig:</t>
  </si>
  <si>
    <t>Pigs Mktd/month:</t>
  </si>
  <si>
    <t>NFE</t>
  </si>
  <si>
    <t>DF</t>
  </si>
  <si>
    <t>SUGARS</t>
  </si>
  <si>
    <t>CA:STTD</t>
  </si>
  <si>
    <t>SALT(NACL)</t>
  </si>
  <si>
    <t>DCAD</t>
  </si>
  <si>
    <t>mEq/kg</t>
  </si>
  <si>
    <t>SD ARG</t>
  </si>
  <si>
    <t>SD HIS</t>
  </si>
  <si>
    <t>SD PHE</t>
  </si>
  <si>
    <t>SD TYR</t>
  </si>
  <si>
    <t>SD P+T</t>
  </si>
  <si>
    <t>TIA</t>
  </si>
  <si>
    <t>LINCO</t>
  </si>
  <si>
    <t>CTC</t>
  </si>
  <si>
    <t>OTC</t>
  </si>
  <si>
    <t>PEN</t>
  </si>
  <si>
    <t>VIR</t>
  </si>
  <si>
    <t>SULFA</t>
  </si>
  <si>
    <t>SPCM</t>
  </si>
  <si>
    <t>TIL</t>
  </si>
  <si>
    <t>FBZ</t>
  </si>
  <si>
    <t>DIFF</t>
  </si>
  <si>
    <r>
      <rPr>
        <b/>
        <sz val="12"/>
        <rFont val="Cambria"/>
        <family val="1"/>
      </rPr>
      <t>Feed Cost,</t>
    </r>
    <r>
      <rPr>
        <sz val="12"/>
        <rFont val="Cambria"/>
        <family val="1"/>
      </rPr>
      <t xml:space="preserve"> $/pig:</t>
    </r>
  </si>
  <si>
    <r>
      <rPr>
        <b/>
        <sz val="12"/>
        <rFont val="Cambria"/>
        <family val="1"/>
      </rPr>
      <t>Savings,</t>
    </r>
    <r>
      <rPr>
        <sz val="12"/>
        <rFont val="Cambria"/>
        <family val="1"/>
      </rPr>
      <t xml:space="preserve"> $/Pig:</t>
    </r>
  </si>
  <si>
    <t>RAC</t>
  </si>
  <si>
    <t>TYLOSIN</t>
  </si>
  <si>
    <t>TIAMULIN</t>
  </si>
  <si>
    <t>TIU/g</t>
  </si>
  <si>
    <t>PDI</t>
  </si>
  <si>
    <t>Index</t>
  </si>
  <si>
    <t>GLS</t>
  </si>
  <si>
    <t>umol/g</t>
  </si>
  <si>
    <t>AFB1</t>
  </si>
  <si>
    <t>ppb</t>
  </si>
  <si>
    <t>AFB2</t>
  </si>
  <si>
    <t>FB1</t>
  </si>
  <si>
    <t>ppm</t>
  </si>
  <si>
    <t>FB2</t>
  </si>
  <si>
    <t>FB3</t>
  </si>
  <si>
    <t>ZEA</t>
  </si>
  <si>
    <t>OT A</t>
  </si>
  <si>
    <t>DON/VOMI</t>
  </si>
  <si>
    <t>HT2 TOXIN</t>
  </si>
  <si>
    <t>NIV</t>
  </si>
  <si>
    <t>T2 TOXIN</t>
  </si>
  <si>
    <t>ERGOT</t>
  </si>
  <si>
    <t>AAV CA</t>
  </si>
  <si>
    <t>STTD CA</t>
  </si>
  <si>
    <t xml:space="preserve">Lactation </t>
  </si>
  <si>
    <r>
      <t xml:space="preserve">MEDS: </t>
    </r>
    <r>
      <rPr>
        <b/>
        <sz val="12"/>
        <color rgb="FFFF0000"/>
        <rFont val="Cambria"/>
        <family val="1"/>
      </rPr>
      <t>NM</t>
    </r>
  </si>
  <si>
    <r>
      <t>DIET COMPOSITION,</t>
    </r>
    <r>
      <rPr>
        <sz val="12"/>
        <color theme="1"/>
        <rFont val="Cambria"/>
        <family val="1"/>
      </rPr>
      <t xml:space="preserve"> kg/tonne</t>
    </r>
  </si>
  <si>
    <r>
      <t xml:space="preserve">MICRO-INGRED.
</t>
    </r>
    <r>
      <rPr>
        <sz val="12"/>
        <color theme="1"/>
        <rFont val="Cambria"/>
        <family val="1"/>
      </rPr>
      <t>kg/month</t>
    </r>
  </si>
  <si>
    <r>
      <rPr>
        <b/>
        <sz val="12"/>
        <color theme="1"/>
        <rFont val="Cambria"/>
        <family val="2"/>
      </rPr>
      <t>Shrink,</t>
    </r>
    <r>
      <rPr>
        <sz val="12"/>
        <color theme="1"/>
        <rFont val="Cambria"/>
        <family val="2"/>
      </rPr>
      <t xml:space="preserve"> %</t>
    </r>
    <r>
      <rPr>
        <b/>
        <sz val="12"/>
        <color theme="1"/>
        <rFont val="Cambria"/>
        <family val="2"/>
      </rPr>
      <t>:</t>
    </r>
  </si>
  <si>
    <r>
      <rPr>
        <b/>
        <sz val="12"/>
        <color theme="1"/>
        <rFont val="Cambria"/>
        <family val="2"/>
      </rPr>
      <t>Freight,</t>
    </r>
    <r>
      <rPr>
        <sz val="12"/>
        <color theme="1"/>
        <rFont val="Cambria"/>
        <family val="2"/>
      </rPr>
      <t xml:space="preserve"> $/tonne</t>
    </r>
    <r>
      <rPr>
        <b/>
        <sz val="12"/>
        <color theme="1"/>
        <rFont val="Cambria"/>
        <family val="2"/>
      </rPr>
      <t>:</t>
    </r>
  </si>
  <si>
    <r>
      <t xml:space="preserve">INGREDIENTS
</t>
    </r>
    <r>
      <rPr>
        <sz val="11"/>
        <color theme="0"/>
        <rFont val="Cambria"/>
        <family val="1"/>
      </rPr>
      <t>Loads or kg/month</t>
    </r>
  </si>
  <si>
    <r>
      <t xml:space="preserve">ING. PRICING,
</t>
    </r>
    <r>
      <rPr>
        <sz val="12"/>
        <color theme="0"/>
        <rFont val="Cambria"/>
        <family val="1"/>
      </rPr>
      <t>$/tonne</t>
    </r>
  </si>
  <si>
    <r>
      <t xml:space="preserve">PHASE DIET USAGE, </t>
    </r>
    <r>
      <rPr>
        <sz val="12"/>
        <color theme="0"/>
        <rFont val="Cambria"/>
        <family val="1"/>
      </rPr>
      <t>tonnes/month</t>
    </r>
  </si>
  <si>
    <r>
      <t xml:space="preserve">ADG,
</t>
    </r>
    <r>
      <rPr>
        <sz val="11"/>
        <color theme="0"/>
        <rFont val="Cambria"/>
        <family val="1"/>
      </rPr>
      <t>g/day</t>
    </r>
  </si>
  <si>
    <r>
      <t xml:space="preserve">FEED:GAIN,
</t>
    </r>
    <r>
      <rPr>
        <sz val="11"/>
        <color theme="0"/>
        <rFont val="Cambria"/>
        <family val="1"/>
      </rPr>
      <t>Ratio</t>
    </r>
  </si>
  <si>
    <r>
      <t xml:space="preserve">FEED BUDGET,
</t>
    </r>
    <r>
      <rPr>
        <sz val="11"/>
        <color theme="0"/>
        <rFont val="Cambria"/>
        <family val="1"/>
      </rPr>
      <t>kg/pig</t>
    </r>
  </si>
  <si>
    <r>
      <rPr>
        <b/>
        <sz val="12"/>
        <color theme="0"/>
        <rFont val="Cambria"/>
        <family val="1"/>
      </rPr>
      <t>DIET COST,</t>
    </r>
    <r>
      <rPr>
        <sz val="12"/>
        <color theme="0"/>
        <rFont val="Cambria"/>
        <family val="1"/>
      </rPr>
      <t xml:space="preserve"> $/tonne</t>
    </r>
  </si>
  <si>
    <r>
      <t xml:space="preserve">FEED COST,
</t>
    </r>
    <r>
      <rPr>
        <sz val="11"/>
        <color theme="0"/>
        <rFont val="Cambria"/>
        <family val="1"/>
      </rPr>
      <t>$/pig</t>
    </r>
  </si>
  <si>
    <r>
      <t>PIG WEIGHT,</t>
    </r>
    <r>
      <rPr>
        <sz val="12"/>
        <color theme="0"/>
        <rFont val="Cambria"/>
        <family val="1"/>
      </rPr>
      <t xml:space="preserve"> kg</t>
    </r>
  </si>
  <si>
    <t>Name</t>
  </si>
  <si>
    <t>RM code</t>
  </si>
  <si>
    <t>(FM) Formula</t>
  </si>
  <si>
    <t>Sell</t>
  </si>
  <si>
    <t>Cost</t>
  </si>
  <si>
    <t>Margin</t>
  </si>
  <si>
    <t>Tonnes</t>
  </si>
  <si>
    <t>AT Viligen</t>
  </si>
  <si>
    <r>
      <t>FF:</t>
    </r>
    <r>
      <rPr>
        <b/>
        <sz val="12"/>
        <color theme="8" tint="-0.499984740745262"/>
        <rFont val="Cambria"/>
        <family val="1"/>
      </rPr>
      <t xml:space="preserve"> </t>
    </r>
  </si>
  <si>
    <t>Starter 1</t>
  </si>
  <si>
    <t>Grower 2</t>
  </si>
  <si>
    <t>Grower  1</t>
  </si>
  <si>
    <r>
      <t xml:space="preserve">ADFI,
</t>
    </r>
    <r>
      <rPr>
        <sz val="11"/>
        <color theme="0"/>
        <rFont val="Cambria"/>
        <family val="1"/>
      </rPr>
      <t>g/day</t>
    </r>
  </si>
  <si>
    <t>Column1</t>
  </si>
  <si>
    <t>21-May</t>
  </si>
  <si>
    <t>Manufactured cost</t>
  </si>
  <si>
    <t>SSFA -Sodium Butyrate</t>
  </si>
  <si>
    <t>Grower 1</t>
  </si>
  <si>
    <r>
      <t>AB PORK–</t>
    </r>
    <r>
      <rPr>
        <b/>
        <sz val="14"/>
        <color rgb="FFFF0000"/>
        <rFont val="Cambria"/>
        <family val="1"/>
      </rPr>
      <t xml:space="preserve"> LACTATION </t>
    </r>
  </si>
  <si>
    <r>
      <t>AB PORK –</t>
    </r>
    <r>
      <rPr>
        <b/>
        <sz val="14"/>
        <color rgb="FFFF0000"/>
        <rFont val="Cambria"/>
        <family val="1"/>
      </rPr>
      <t xml:space="preserve"> GESTATION</t>
    </r>
  </si>
  <si>
    <r>
      <t>AB PORK–</t>
    </r>
    <r>
      <rPr>
        <b/>
        <sz val="14"/>
        <color rgb="FFFF0000"/>
        <rFont val="Cambria"/>
        <family val="1"/>
      </rPr>
      <t xml:space="preserve"> GILT DEVELOPER</t>
    </r>
  </si>
  <si>
    <r>
      <t>AB PORK –</t>
    </r>
    <r>
      <rPr>
        <b/>
        <sz val="14"/>
        <color rgb="FFFF0000"/>
        <rFont val="Cambria"/>
        <family val="1"/>
      </rPr>
      <t xml:space="preserve"> STARTER 2 </t>
    </r>
  </si>
  <si>
    <r>
      <t>AB PORK–</t>
    </r>
    <r>
      <rPr>
        <b/>
        <sz val="14"/>
        <color rgb="FFFF0000"/>
        <rFont val="Cambria"/>
        <family val="1"/>
      </rPr>
      <t xml:space="preserve"> STARTER 1</t>
    </r>
  </si>
  <si>
    <r>
      <t>AB PORK –</t>
    </r>
    <r>
      <rPr>
        <b/>
        <sz val="14"/>
        <color rgb="FFFF0000"/>
        <rFont val="Cambria"/>
        <family val="1"/>
      </rPr>
      <t xml:space="preserve"> PRE-GROWER </t>
    </r>
  </si>
  <si>
    <r>
      <t>AB PORK –</t>
    </r>
    <r>
      <rPr>
        <b/>
        <sz val="14"/>
        <color rgb="FFFF0000"/>
        <rFont val="Cambria"/>
        <family val="1"/>
      </rPr>
      <t xml:space="preserve"> GROWER 1</t>
    </r>
  </si>
  <si>
    <r>
      <t>AB PORK –</t>
    </r>
    <r>
      <rPr>
        <b/>
        <sz val="14"/>
        <color rgb="FFFF0000"/>
        <rFont val="Cambria"/>
        <family val="1"/>
      </rPr>
      <t xml:space="preserve"> GROWER 2</t>
    </r>
  </si>
  <si>
    <r>
      <t>AB PORK–</t>
    </r>
    <r>
      <rPr>
        <b/>
        <sz val="14"/>
        <color rgb="FFFF0000"/>
        <rFont val="Cambria"/>
        <family val="1"/>
      </rPr>
      <t xml:space="preserve"> FINISHER </t>
    </r>
  </si>
  <si>
    <t>Wheat Hard Red</t>
  </si>
  <si>
    <t>Millrun</t>
  </si>
  <si>
    <t>Oat Hulls</t>
  </si>
  <si>
    <t>Soybean Meal 46.0% CP</t>
  </si>
  <si>
    <t>Calcium Carbonate</t>
  </si>
  <si>
    <t>Mono-cal 21% P (Bulk)</t>
  </si>
  <si>
    <t>Salt (Bulk)</t>
  </si>
  <si>
    <t>Sel-Plex 2000</t>
  </si>
  <si>
    <t>BioLys</t>
  </si>
  <si>
    <t>Canola Oil-Mixer</t>
  </si>
  <si>
    <t>Ronozyme HiPhos GT2500</t>
  </si>
  <si>
    <t>Vevovitall</t>
  </si>
  <si>
    <t>GFC Feeder Micro 1.0 Phytase HS</t>
  </si>
  <si>
    <t>GFC Sow Micro 1.5 Phytase HS</t>
  </si>
  <si>
    <t>GFC Starter Micro 2.0 NSP</t>
  </si>
  <si>
    <t>ABPORK1, AB Pork Lactation</t>
  </si>
  <si>
    <t>ABPORK10, AB Pork Starter 1</t>
  </si>
  <si>
    <t>ABPORK11, AB Pork Starter 2</t>
  </si>
  <si>
    <t>ABPORK12, AB Pork PreGrower</t>
  </si>
  <si>
    <t>ABPORK15, AB Pork Grower 1</t>
  </si>
  <si>
    <t>ABPORK16, AB Pork Grower 2</t>
  </si>
  <si>
    <t>ABPORK17, AB Pork Finisher</t>
  </si>
  <si>
    <t>ABPORK2, AB Pork Gestation</t>
  </si>
  <si>
    <t>ABPORK3, AB Pork Gilt Developer</t>
  </si>
  <si>
    <t>Starters</t>
  </si>
  <si>
    <t>21-Jul</t>
  </si>
  <si>
    <t>AB PORK – GROWER 1</t>
  </si>
  <si>
    <t>MEDS: NM</t>
  </si>
  <si>
    <t xml:space="preserve">FF: </t>
  </si>
  <si>
    <t>AMOUNT,
kg/tonne</t>
  </si>
  <si>
    <t>LEVEL,
%</t>
  </si>
  <si>
    <t>ING. PRICING,
$/tonne</t>
  </si>
  <si>
    <t>AB PORK – GROWER 2</t>
  </si>
  <si>
    <t xml:space="preserve">AB PORK– LACTATION </t>
  </si>
  <si>
    <t>AB PORK – GESTATION</t>
  </si>
  <si>
    <t>AB PORK– GILT DEVELOPER</t>
  </si>
  <si>
    <t>1811 19th Av. | Wainwright, AB | Canada |T9W 1T4
P: 780.842.4900 |F: 780.669.7010
www.gowansfeedconsulting.ca</t>
  </si>
  <si>
    <t>Canola Oil</t>
  </si>
  <si>
    <t>Feed Fat</t>
  </si>
  <si>
    <t>Column2</t>
  </si>
  <si>
    <t>CURRENT</t>
  </si>
  <si>
    <r>
      <rPr>
        <b/>
        <sz val="12"/>
        <color theme="1"/>
        <rFont val="Cambria"/>
        <family val="2"/>
      </rPr>
      <t>Manufacturing,</t>
    </r>
    <r>
      <rPr>
        <sz val="12"/>
        <color theme="1"/>
        <rFont val="Cambria"/>
        <family val="2"/>
      </rPr>
      <t xml:space="preserve"> $/tonne</t>
    </r>
    <r>
      <rPr>
        <b/>
        <sz val="12"/>
        <color theme="1"/>
        <rFont val="Cambria"/>
        <family val="2"/>
      </rPr>
      <t>:</t>
    </r>
  </si>
  <si>
    <t>Disclaimer: Gowans Feed Consulting  presents the ingredient prices and feed cost modelling as a snapshot of the market using current information available at the time of the report. These findings are for informational purposes only and should not be reproduced or transmitted by any means without permission.  Gowans Feed Consulting does not guarantee, and accepts no legal liability arising from or connected to, the accuracy, reliability, or completeness of any material contained in the publication.</t>
  </si>
  <si>
    <t>21-Aug</t>
  </si>
  <si>
    <t xml:space="preserve">AB PORK – STARTER 2 </t>
  </si>
  <si>
    <t xml:space="preserve">AB PORK – PRE-GROWER </t>
  </si>
  <si>
    <t xml:space="preserve">AB PORK– FINISHER </t>
  </si>
  <si>
    <t>21-Sep</t>
  </si>
  <si>
    <t>21-Oct</t>
  </si>
  <si>
    <t>21-Nov</t>
  </si>
  <si>
    <t>Nov-21</t>
  </si>
  <si>
    <t>21-Dec</t>
  </si>
  <si>
    <t>Dec-21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</si>
</sst>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quot;$&quot;* #,##0.00_);_(&quot;$&quot;* \(#,##0.00\);_(&quot;$&quot;* &quot;-&quot;??_);_(@_)"/>
    <numFmt numFmtId="165" formatCode="[$-1009]d/mmm/yy;@"/>
    <numFmt numFmtId="166" formatCode="0.000"/>
    <numFmt numFmtId="167" formatCode="_-&quot;$&quot;* #,##0.0_-;\-&quot;$&quot;* #,##0.0_-;_-&quot;$&quot;* &quot;-&quot;??_-;_-@_-"/>
    <numFmt numFmtId="168" formatCode="0.0"/>
    <numFmt numFmtId="169" formatCode="0.0%"/>
    <numFmt numFmtId="170" formatCode="&quot;$&quot;\ \ \ #,##0.0;\-&quot;$&quot;\ \ \ #,##0.0"/>
    <numFmt numFmtId="171" formatCode="&quot;$&quot;\ \ \ #,##0.00;\-&quot;$&quot;\ \ \ #,##0.00"/>
    <numFmt numFmtId="172" formatCode="_-&quot;$&quot;* #,##0_-;\-&quot;$&quot;* #,##0_-;_-&quot;$&quot;* &quot;-&quot;??_-;_-@_-"/>
    <numFmt numFmtId="173" formatCode="_-&quot;$&quot;* #,##0.0_-;[Red]\-&quot;$&quot;* #,##0.0_-;[Red]_-&quot;$&quot;* &quot;-&quot;??_-;_-@_-"/>
    <numFmt numFmtId="174" formatCode="#,##0.0"/>
    <numFmt numFmtId="175" formatCode="_-&quot;$&quot;* #,##0.00_-;[Red]\-&quot;$&quot;* #,##0.00_-;[Red]_-&quot;$&quot;* &quot;-&quot;??_-;_-@_-"/>
  </numFmts>
  <fonts count="40" x14ac:knownFonts="1">
    <font>
      <sz val="12"/>
      <color theme="1"/>
      <name val="Cambria"/>
      <family val="2"/>
    </font>
    <font>
      <sz val="11"/>
      <color theme="1"/>
      <name val="Calibri"/>
      <family val="2"/>
      <scheme val="minor"/>
    </font>
    <font>
      <sz val="12"/>
      <color theme="1"/>
      <name val="Cambria"/>
      <family val="2"/>
    </font>
    <font>
      <b/>
      <sz val="12"/>
      <color theme="1"/>
      <name val="Cambria"/>
      <family val="1"/>
    </font>
    <font>
      <sz val="12"/>
      <color theme="1"/>
      <name val="Cambria"/>
      <family val="1"/>
    </font>
    <font>
      <sz val="14"/>
      <color theme="1"/>
      <name val="Cambria"/>
      <family val="2"/>
    </font>
    <font>
      <b/>
      <sz val="14"/>
      <color theme="1"/>
      <name val="Cambria"/>
      <family val="1"/>
    </font>
    <font>
      <b/>
      <sz val="14"/>
      <color rgb="FFFF0000"/>
      <name val="Cambria"/>
      <family val="1"/>
    </font>
    <font>
      <sz val="12"/>
      <name val="Cambria"/>
      <family val="1"/>
    </font>
    <font>
      <b/>
      <sz val="14"/>
      <color theme="0"/>
      <name val="Cambria"/>
      <family val="1"/>
    </font>
    <font>
      <b/>
      <sz val="12"/>
      <color theme="0"/>
      <name val="Cambria"/>
      <family val="1"/>
    </font>
    <font>
      <sz val="12"/>
      <color theme="0"/>
      <name val="Cambria"/>
      <family val="1"/>
    </font>
    <font>
      <sz val="9"/>
      <color indexed="81"/>
      <name val="Tahoma"/>
      <family val="2"/>
    </font>
    <font>
      <b/>
      <sz val="9"/>
      <color indexed="81"/>
      <name val="Tahoma"/>
      <family val="2"/>
    </font>
    <font>
      <b/>
      <sz val="12"/>
      <name val="Cambria"/>
      <family val="1"/>
    </font>
    <font>
      <b/>
      <sz val="12"/>
      <color rgb="FFFF0000"/>
      <name val="Cambria"/>
      <family val="1"/>
    </font>
    <font>
      <b/>
      <sz val="12"/>
      <color theme="8" tint="-0.499984740745262"/>
      <name val="Cambria"/>
      <family val="1"/>
    </font>
    <font>
      <sz val="12"/>
      <name val="Cambria"/>
      <family val="2"/>
    </font>
    <font>
      <b/>
      <sz val="14"/>
      <color theme="0"/>
      <name val="Cambria"/>
      <family val="1"/>
    </font>
    <font>
      <sz val="12"/>
      <color theme="1"/>
      <name val="Cambria"/>
      <family val="2"/>
    </font>
    <font>
      <b/>
      <sz val="14"/>
      <color theme="1"/>
      <name val="Cambria"/>
      <family val="1"/>
    </font>
    <font>
      <b/>
      <sz val="12"/>
      <color theme="0"/>
      <name val="Cambria"/>
      <family val="1"/>
    </font>
    <font>
      <b/>
      <sz val="12"/>
      <color theme="1"/>
      <name val="Cambria"/>
      <family val="1"/>
    </font>
    <font>
      <b/>
      <sz val="11"/>
      <color theme="0"/>
      <name val="Cambria"/>
      <family val="1"/>
    </font>
    <font>
      <b/>
      <sz val="14"/>
      <name val="Cambria"/>
      <family val="1"/>
    </font>
    <font>
      <b/>
      <sz val="12"/>
      <color theme="1"/>
      <name val="Cambria"/>
      <family val="2"/>
    </font>
    <font>
      <b/>
      <sz val="14"/>
      <color theme="0"/>
      <name val="Cambria"/>
      <family val="1"/>
    </font>
    <font>
      <sz val="12"/>
      <color theme="1"/>
      <name val="Cambria"/>
      <family val="2"/>
    </font>
    <font>
      <b/>
      <sz val="14"/>
      <color theme="1"/>
      <name val="Cambria"/>
      <family val="1"/>
    </font>
    <font>
      <b/>
      <sz val="12"/>
      <color theme="0"/>
      <name val="Cambria"/>
      <family val="1"/>
    </font>
    <font>
      <sz val="12"/>
      <color theme="0"/>
      <name val="Cambria"/>
      <family val="2"/>
    </font>
    <font>
      <sz val="12"/>
      <color theme="0"/>
      <name val="Cambria"/>
      <family val="1"/>
    </font>
    <font>
      <sz val="11"/>
      <color theme="1"/>
      <name val="Cambria"/>
      <family val="1"/>
    </font>
    <font>
      <sz val="11"/>
      <color theme="1"/>
      <name val="Cambria"/>
      <family val="2"/>
    </font>
    <font>
      <sz val="11"/>
      <color theme="0"/>
      <name val="Cambria"/>
      <family val="1"/>
    </font>
    <font>
      <sz val="8"/>
      <name val="Cambria"/>
      <family val="2"/>
    </font>
    <font>
      <sz val="10"/>
      <name val="Arial"/>
      <family val="2"/>
    </font>
    <font>
      <sz val="12"/>
      <color theme="1"/>
      <name val="Cambria"/>
      <family val="1"/>
    </font>
    <font>
      <sz val="12"/>
      <color rgb="FF222222"/>
      <name val="Arial"/>
      <family val="2"/>
    </font>
    <font>
      <i/>
      <sz val="9"/>
      <color rgb="FF202020"/>
      <name val="Calibri"/>
      <family val="2"/>
    </font>
  </fonts>
  <fills count="12">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800000"/>
        <bgColor indexed="64"/>
      </patternFill>
    </fill>
    <fill>
      <patternFill patternType="solid">
        <fgColor theme="3" tint="-0.499984740745262"/>
        <bgColor indexed="64"/>
      </patternFill>
    </fill>
    <fill>
      <patternFill patternType="solid">
        <fgColor theme="1"/>
        <bgColor theme="8"/>
      </patternFill>
    </fill>
    <fill>
      <patternFill patternType="solid">
        <fgColor theme="4" tint="0.79998168889431442"/>
        <bgColor indexed="64"/>
      </patternFill>
    </fill>
  </fills>
  <borders count="65">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medium">
        <color auto="1"/>
      </top>
      <bottom style="thin">
        <color auto="1"/>
      </bottom>
      <diagonal/>
    </border>
    <border>
      <left/>
      <right/>
      <top style="thin">
        <color auto="1"/>
      </top>
      <bottom style="medium">
        <color auto="1"/>
      </bottom>
      <diagonal/>
    </border>
    <border>
      <left/>
      <right/>
      <top/>
      <bottom style="medium">
        <color auto="1"/>
      </bottom>
      <diagonal/>
    </border>
    <border>
      <left/>
      <right/>
      <top style="medium">
        <color auto="1"/>
      </top>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medium">
        <color theme="0"/>
      </bottom>
      <diagonal/>
    </border>
    <border>
      <left/>
      <right/>
      <top style="medium">
        <color auto="1"/>
      </top>
      <bottom style="medium">
        <color theme="0"/>
      </bottom>
      <diagonal/>
    </border>
    <border>
      <left style="medium">
        <color auto="1"/>
      </left>
      <right/>
      <top style="medium">
        <color theme="0"/>
      </top>
      <bottom style="medium">
        <color theme="0"/>
      </bottom>
      <diagonal/>
    </border>
    <border>
      <left/>
      <right/>
      <top style="medium">
        <color theme="0"/>
      </top>
      <bottom style="medium">
        <color theme="0"/>
      </bottom>
      <diagonal/>
    </border>
    <border>
      <left style="medium">
        <color auto="1"/>
      </left>
      <right/>
      <top style="medium">
        <color theme="0"/>
      </top>
      <bottom style="medium">
        <color auto="1"/>
      </bottom>
      <diagonal/>
    </border>
    <border>
      <left/>
      <right/>
      <top style="medium">
        <color theme="0"/>
      </top>
      <bottom style="medium">
        <color auto="1"/>
      </bottom>
      <diagonal/>
    </border>
    <border>
      <left style="medium">
        <color auto="1"/>
      </left>
      <right style="medium">
        <color auto="1"/>
      </right>
      <top style="medium">
        <color auto="1"/>
      </top>
      <bottom style="medium">
        <color theme="0"/>
      </bottom>
      <diagonal/>
    </border>
    <border>
      <left style="medium">
        <color auto="1"/>
      </left>
      <right style="medium">
        <color auto="1"/>
      </right>
      <top style="medium">
        <color theme="0"/>
      </top>
      <bottom style="medium">
        <color theme="0"/>
      </bottom>
      <diagonal/>
    </border>
    <border>
      <left style="medium">
        <color auto="1"/>
      </left>
      <right style="medium">
        <color auto="1"/>
      </right>
      <top style="medium">
        <color theme="0"/>
      </top>
      <bottom style="medium">
        <color auto="1"/>
      </bottom>
      <diagonal/>
    </border>
    <border>
      <left/>
      <right/>
      <top style="thin">
        <color indexed="64"/>
      </top>
      <bottom style="thick">
        <color indexed="64"/>
      </bottom>
      <diagonal/>
    </border>
    <border>
      <left style="thin">
        <color auto="1"/>
      </left>
      <right/>
      <top/>
      <bottom/>
      <diagonal/>
    </border>
    <border>
      <left style="thin">
        <color auto="1"/>
      </left>
      <right/>
      <top/>
      <bottom style="medium">
        <color auto="1"/>
      </bottom>
      <diagonal/>
    </border>
    <border>
      <left style="medium">
        <color auto="1"/>
      </left>
      <right style="thick">
        <color auto="1"/>
      </right>
      <top style="medium">
        <color auto="1"/>
      </top>
      <bottom/>
      <diagonal/>
    </border>
    <border>
      <left style="thick">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ck">
        <color auto="1"/>
      </right>
      <top/>
      <bottom/>
      <diagonal/>
    </border>
    <border>
      <left style="thin">
        <color auto="1"/>
      </left>
      <right style="medium">
        <color auto="1"/>
      </right>
      <top style="thin">
        <color auto="1"/>
      </top>
      <bottom style="thin">
        <color auto="1"/>
      </bottom>
      <diagonal/>
    </border>
    <border>
      <left style="medium">
        <color auto="1"/>
      </left>
      <right style="thick">
        <color auto="1"/>
      </right>
      <top/>
      <bottom style="medium">
        <color auto="1"/>
      </bottom>
      <diagonal/>
    </border>
    <border>
      <left style="thick">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bottom style="thin">
        <color indexed="64"/>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theme="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36" fillId="0" borderId="0"/>
    <xf numFmtId="44" fontId="36" fillId="0" borderId="0" applyFont="0" applyFill="0" applyBorder="0" applyAlignment="0" applyProtection="0"/>
  </cellStyleXfs>
  <cellXfs count="318">
    <xf numFmtId="0" fontId="0" fillId="0" borderId="0" xfId="0"/>
    <xf numFmtId="0" fontId="0" fillId="0" borderId="0" xfId="0" applyAlignment="1">
      <alignment horizontal="left" vertical="center" indent="1"/>
    </xf>
    <xf numFmtId="0" fontId="5" fillId="0" borderId="0" xfId="0" applyFont="1"/>
    <xf numFmtId="0" fontId="3" fillId="0" borderId="5" xfId="0" applyFont="1" applyBorder="1" applyAlignment="1">
      <alignment horizontal="left" vertical="center" indent="1"/>
    </xf>
    <xf numFmtId="0" fontId="3" fillId="0" borderId="5" xfId="0" applyFont="1" applyBorder="1" applyAlignment="1">
      <alignment horizontal="center" vertical="center" wrapText="1"/>
    </xf>
    <xf numFmtId="0" fontId="0" fillId="0" borderId="0" xfId="0" applyAlignment="1">
      <alignment horizontal="right"/>
    </xf>
    <xf numFmtId="0" fontId="0" fillId="0" borderId="0" xfId="0" applyAlignment="1">
      <alignment horizontal="left" indent="1"/>
    </xf>
    <xf numFmtId="0" fontId="0" fillId="0" borderId="0" xfId="0" applyAlignment="1">
      <alignment horizontal="right" indent="1"/>
    </xf>
    <xf numFmtId="2" fontId="0" fillId="0" borderId="0" xfId="0" applyNumberFormat="1" applyAlignment="1">
      <alignment horizontal="right" indent="1"/>
    </xf>
    <xf numFmtId="166" fontId="0" fillId="0" borderId="0" xfId="0" applyNumberFormat="1" applyAlignment="1">
      <alignment horizontal="right" indent="1"/>
    </xf>
    <xf numFmtId="167" fontId="0" fillId="0" borderId="0" xfId="1" applyNumberFormat="1" applyFont="1"/>
    <xf numFmtId="0" fontId="3" fillId="0" borderId="0" xfId="0" applyFont="1" applyAlignment="1">
      <alignment horizontal="right" indent="1"/>
    </xf>
    <xf numFmtId="2" fontId="3" fillId="0" borderId="6" xfId="0" applyNumberFormat="1" applyFont="1" applyBorder="1" applyAlignment="1">
      <alignment horizontal="right" indent="1"/>
    </xf>
    <xf numFmtId="166" fontId="3" fillId="0" borderId="6" xfId="0" applyNumberFormat="1" applyFont="1" applyBorder="1" applyAlignment="1">
      <alignment horizontal="right" indent="1"/>
    </xf>
    <xf numFmtId="0" fontId="3" fillId="0" borderId="5" xfId="0" applyFont="1" applyBorder="1" applyAlignment="1">
      <alignment horizontal="left" indent="1"/>
    </xf>
    <xf numFmtId="0" fontId="3" fillId="4" borderId="0" xfId="0" applyFont="1" applyFill="1" applyAlignment="1">
      <alignment horizontal="left" indent="1"/>
    </xf>
    <xf numFmtId="0" fontId="0" fillId="0" borderId="7" xfId="0" applyBorder="1" applyAlignment="1">
      <alignment horizontal="left" indent="1"/>
    </xf>
    <xf numFmtId="2" fontId="0" fillId="0" borderId="7" xfId="0" applyNumberFormat="1" applyBorder="1" applyAlignment="1">
      <alignment horizontal="right" indent="1"/>
    </xf>
    <xf numFmtId="0" fontId="4" fillId="0" borderId="0" xfId="0" applyFont="1" applyAlignment="1">
      <alignment horizontal="left" indent="1"/>
    </xf>
    <xf numFmtId="0" fontId="0" fillId="0" borderId="0" xfId="0" applyAlignment="1">
      <alignment horizontal="center" wrapText="1"/>
    </xf>
    <xf numFmtId="167" fontId="0" fillId="0" borderId="0" xfId="1" applyNumberFormat="1" applyFont="1" applyAlignment="1">
      <alignment horizontal="right" indent="1"/>
    </xf>
    <xf numFmtId="0" fontId="9" fillId="2" borderId="1" xfId="0" applyFont="1" applyFill="1" applyBorder="1" applyAlignment="1">
      <alignment horizontal="left" indent="1"/>
    </xf>
    <xf numFmtId="0" fontId="0" fillId="0" borderId="8" xfId="0" applyBorder="1" applyAlignment="1">
      <alignment horizontal="left" indent="1"/>
    </xf>
    <xf numFmtId="0" fontId="0" fillId="0" borderId="0" xfId="0" applyAlignment="1">
      <alignment horizontal="left" indent="3"/>
    </xf>
    <xf numFmtId="44" fontId="0" fillId="0" borderId="0" xfId="1" applyFont="1" applyAlignment="1">
      <alignment horizontal="right" indent="1"/>
    </xf>
    <xf numFmtId="172" fontId="0" fillId="0" borderId="0" xfId="1" applyNumberFormat="1" applyFont="1" applyAlignment="1">
      <alignment horizontal="right" indent="1"/>
    </xf>
    <xf numFmtId="0" fontId="3" fillId="0" borderId="0" xfId="0" applyFont="1" applyAlignment="1">
      <alignment horizontal="left" indent="1"/>
    </xf>
    <xf numFmtId="0" fontId="4" fillId="4" borderId="11" xfId="0" applyFont="1" applyFill="1" applyBorder="1" applyAlignment="1">
      <alignment horizontal="left" indent="1"/>
    </xf>
    <xf numFmtId="0" fontId="4" fillId="4" borderId="12" xfId="0" applyFont="1" applyFill="1" applyBorder="1" applyAlignment="1">
      <alignment horizontal="left" indent="1"/>
    </xf>
    <xf numFmtId="172" fontId="0" fillId="0" borderId="7" xfId="1" applyNumberFormat="1" applyFont="1" applyBorder="1" applyAlignment="1">
      <alignment horizontal="right" indent="1"/>
    </xf>
    <xf numFmtId="2" fontId="0" fillId="0" borderId="0" xfId="0" applyNumberFormat="1"/>
    <xf numFmtId="44" fontId="3" fillId="0" borderId="5" xfId="1" applyFont="1" applyBorder="1" applyAlignment="1">
      <alignment horizontal="right" indent="1"/>
    </xf>
    <xf numFmtId="0" fontId="8" fillId="0" borderId="5" xfId="0" applyFont="1" applyBorder="1" applyAlignment="1">
      <alignment horizontal="right" indent="2"/>
    </xf>
    <xf numFmtId="0" fontId="8" fillId="6" borderId="38" xfId="0" applyFont="1" applyFill="1" applyBorder="1" applyAlignment="1">
      <alignment horizontal="right" indent="2"/>
    </xf>
    <xf numFmtId="0" fontId="8" fillId="0" borderId="0" xfId="0" applyFont="1" applyAlignment="1">
      <alignment horizontal="right" indent="2"/>
    </xf>
    <xf numFmtId="0" fontId="4" fillId="0" borderId="0" xfId="0" applyFont="1" applyAlignment="1">
      <alignment horizontal="right"/>
    </xf>
    <xf numFmtId="0" fontId="4" fillId="0" borderId="0" xfId="0" applyFont="1"/>
    <xf numFmtId="44" fontId="10" fillId="2" borderId="6" xfId="1" applyFont="1" applyFill="1" applyBorder="1"/>
    <xf numFmtId="165" fontId="0" fillId="4" borderId="12" xfId="0" applyNumberFormat="1" applyFill="1" applyBorder="1" applyAlignment="1">
      <alignment horizontal="center"/>
    </xf>
    <xf numFmtId="0" fontId="19" fillId="0" borderId="0" xfId="0" applyFont="1" applyProtection="1">
      <protection hidden="1"/>
    </xf>
    <xf numFmtId="0" fontId="19" fillId="0" borderId="0" xfId="0" applyFont="1" applyAlignment="1" applyProtection="1">
      <alignment horizontal="left" indent="1"/>
      <protection hidden="1"/>
    </xf>
    <xf numFmtId="0" fontId="21" fillId="2" borderId="13" xfId="0" applyFont="1" applyFill="1" applyBorder="1" applyAlignment="1" applyProtection="1">
      <alignment horizontal="right" indent="1"/>
      <protection hidden="1"/>
    </xf>
    <xf numFmtId="3" fontId="19" fillId="4" borderId="13" xfId="0" applyNumberFormat="1" applyFont="1" applyFill="1" applyBorder="1" applyAlignment="1" applyProtection="1">
      <alignment horizontal="right" indent="2"/>
      <protection hidden="1"/>
    </xf>
    <xf numFmtId="0" fontId="23" fillId="2" borderId="13" xfId="0" applyFont="1" applyFill="1" applyBorder="1" applyAlignment="1" applyProtection="1">
      <alignment horizontal="center"/>
      <protection hidden="1"/>
    </xf>
    <xf numFmtId="0" fontId="24" fillId="5" borderId="26" xfId="0" applyFont="1" applyFill="1" applyBorder="1" applyAlignment="1" applyProtection="1">
      <alignment horizontal="center"/>
      <protection locked="0"/>
    </xf>
    <xf numFmtId="0" fontId="18" fillId="9" borderId="24" xfId="0" applyFont="1" applyFill="1" applyBorder="1" applyAlignment="1" applyProtection="1">
      <alignment horizontal="left" indent="1"/>
      <protection hidden="1"/>
    </xf>
    <xf numFmtId="167" fontId="18" fillId="9" borderId="24" xfId="1" applyNumberFormat="1" applyFont="1" applyFill="1" applyBorder="1" applyAlignment="1" applyProtection="1">
      <alignment horizontal="right" indent="1"/>
      <protection hidden="1"/>
    </xf>
    <xf numFmtId="0" fontId="18" fillId="9" borderId="24" xfId="0" applyFont="1" applyFill="1" applyBorder="1" applyProtection="1">
      <protection hidden="1"/>
    </xf>
    <xf numFmtId="0" fontId="18" fillId="9" borderId="22" xfId="0" applyFont="1" applyFill="1" applyBorder="1" applyProtection="1">
      <protection hidden="1"/>
    </xf>
    <xf numFmtId="0" fontId="18" fillId="9" borderId="15" xfId="0" applyFont="1" applyFill="1" applyBorder="1" applyAlignment="1" applyProtection="1">
      <alignment horizontal="center"/>
      <protection hidden="1"/>
    </xf>
    <xf numFmtId="0" fontId="19" fillId="0" borderId="24" xfId="0" applyFont="1" applyBorder="1" applyAlignment="1" applyProtection="1">
      <alignment horizontal="left" indent="1"/>
      <protection locked="0"/>
    </xf>
    <xf numFmtId="167" fontId="19" fillId="0" borderId="24" xfId="1" applyNumberFormat="1" applyFont="1" applyBorder="1" applyAlignment="1" applyProtection="1">
      <alignment horizontal="right" indent="1"/>
      <protection hidden="1"/>
    </xf>
    <xf numFmtId="168" fontId="19" fillId="0" borderId="21" xfId="0" applyNumberFormat="1" applyFont="1" applyBorder="1" applyAlignment="1" applyProtection="1">
      <alignment horizontal="right" indent="1"/>
      <protection hidden="1"/>
    </xf>
    <xf numFmtId="168" fontId="19" fillId="0" borderId="0" xfId="0" applyNumberFormat="1" applyFont="1" applyAlignment="1" applyProtection="1">
      <alignment horizontal="right" indent="1"/>
      <protection hidden="1"/>
    </xf>
    <xf numFmtId="168" fontId="19" fillId="0" borderId="25" xfId="0" applyNumberFormat="1" applyFont="1" applyBorder="1" applyAlignment="1" applyProtection="1">
      <alignment horizontal="right" indent="1"/>
      <protection hidden="1"/>
    </xf>
    <xf numFmtId="0" fontId="19" fillId="0" borderId="24" xfId="0" applyFont="1" applyBorder="1" applyProtection="1">
      <protection hidden="1"/>
    </xf>
    <xf numFmtId="168" fontId="19" fillId="4" borderId="24" xfId="0" applyNumberFormat="1" applyFont="1" applyFill="1" applyBorder="1" applyAlignment="1" applyProtection="1">
      <alignment horizontal="right" indent="2"/>
      <protection hidden="1"/>
    </xf>
    <xf numFmtId="2" fontId="19" fillId="0" borderId="25" xfId="0" applyNumberFormat="1" applyFont="1" applyBorder="1" applyAlignment="1" applyProtection="1">
      <alignment horizontal="right" indent="3"/>
      <protection hidden="1"/>
    </xf>
    <xf numFmtId="2" fontId="18" fillId="9" borderId="21" xfId="0" applyNumberFormat="1" applyFont="1" applyFill="1" applyBorder="1" applyAlignment="1" applyProtection="1">
      <alignment horizontal="right" indent="1"/>
      <protection hidden="1"/>
    </xf>
    <xf numFmtId="2" fontId="18" fillId="9" borderId="0" xfId="0" applyNumberFormat="1" applyFont="1" applyFill="1" applyAlignment="1" applyProtection="1">
      <alignment horizontal="right" indent="1"/>
      <protection hidden="1"/>
    </xf>
    <xf numFmtId="2" fontId="18" fillId="9" borderId="25" xfId="0" applyNumberFormat="1" applyFont="1" applyFill="1" applyBorder="1" applyAlignment="1" applyProtection="1">
      <alignment horizontal="right" indent="1"/>
      <protection hidden="1"/>
    </xf>
    <xf numFmtId="168" fontId="21" fillId="9" borderId="24" xfId="0" applyNumberFormat="1" applyFont="1" applyFill="1" applyBorder="1" applyAlignment="1" applyProtection="1">
      <alignment horizontal="right" indent="2"/>
      <protection hidden="1"/>
    </xf>
    <xf numFmtId="0" fontId="21" fillId="9" borderId="25" xfId="0" applyFont="1" applyFill="1" applyBorder="1" applyAlignment="1" applyProtection="1">
      <alignment horizontal="center" vertical="center" wrapText="1"/>
      <protection hidden="1"/>
    </xf>
    <xf numFmtId="2" fontId="19" fillId="0" borderId="0" xfId="0" applyNumberFormat="1" applyFont="1" applyAlignment="1" applyProtection="1">
      <alignment horizontal="right" indent="1"/>
      <protection hidden="1"/>
    </xf>
    <xf numFmtId="2" fontId="19" fillId="0" borderId="25" xfId="0" applyNumberFormat="1" applyFont="1" applyBorder="1" applyAlignment="1" applyProtection="1">
      <alignment horizontal="right" indent="1"/>
      <protection hidden="1"/>
    </xf>
    <xf numFmtId="2" fontId="19" fillId="4" borderId="24" xfId="0" applyNumberFormat="1" applyFont="1" applyFill="1" applyBorder="1" applyAlignment="1" applyProtection="1">
      <alignment horizontal="right" indent="2"/>
      <protection hidden="1"/>
    </xf>
    <xf numFmtId="1" fontId="19" fillId="0" borderId="25" xfId="0" applyNumberFormat="1" applyFont="1" applyBorder="1" applyAlignment="1" applyProtection="1">
      <alignment horizontal="right" indent="3"/>
      <protection hidden="1"/>
    </xf>
    <xf numFmtId="0" fontId="19" fillId="0" borderId="23" xfId="0" applyFont="1" applyBorder="1" applyAlignment="1" applyProtection="1">
      <alignment horizontal="left" indent="1"/>
      <protection hidden="1"/>
    </xf>
    <xf numFmtId="167" fontId="19" fillId="0" borderId="23" xfId="1" applyNumberFormat="1" applyFont="1" applyBorder="1" applyAlignment="1" applyProtection="1">
      <alignment horizontal="right" indent="1"/>
      <protection hidden="1"/>
    </xf>
    <xf numFmtId="2" fontId="19" fillId="0" borderId="17" xfId="0" applyNumberFormat="1" applyFont="1" applyBorder="1" applyAlignment="1" applyProtection="1">
      <alignment horizontal="right" indent="1"/>
      <protection hidden="1"/>
    </xf>
    <xf numFmtId="2" fontId="19" fillId="0" borderId="7" xfId="0" applyNumberFormat="1" applyFont="1" applyBorder="1" applyAlignment="1" applyProtection="1">
      <alignment horizontal="right" indent="1"/>
      <protection hidden="1"/>
    </xf>
    <xf numFmtId="2" fontId="19" fillId="0" borderId="18" xfId="0" applyNumberFormat="1" applyFont="1" applyBorder="1" applyAlignment="1" applyProtection="1">
      <alignment horizontal="right" indent="1"/>
      <protection hidden="1"/>
    </xf>
    <xf numFmtId="2" fontId="19" fillId="0" borderId="23" xfId="0" applyNumberFormat="1" applyFont="1" applyBorder="1" applyAlignment="1" applyProtection="1">
      <alignment horizontal="right" indent="2"/>
      <protection hidden="1"/>
    </xf>
    <xf numFmtId="1" fontId="19" fillId="0" borderId="18" xfId="0" applyNumberFormat="1" applyFont="1" applyBorder="1" applyAlignment="1" applyProtection="1">
      <alignment horizontal="right" indent="3"/>
      <protection hidden="1"/>
    </xf>
    <xf numFmtId="0" fontId="22" fillId="0" borderId="14" xfId="0" applyFont="1" applyBorder="1" applyAlignment="1" applyProtection="1">
      <alignment horizontal="right" indent="1"/>
      <protection hidden="1"/>
    </xf>
    <xf numFmtId="0" fontId="19" fillId="0" borderId="8" xfId="0" applyFont="1" applyBorder="1" applyProtection="1">
      <protection hidden="1"/>
    </xf>
    <xf numFmtId="168" fontId="22" fillId="4" borderId="19" xfId="0" applyNumberFormat="1" applyFont="1" applyFill="1" applyBorder="1" applyAlignment="1" applyProtection="1">
      <alignment horizontal="right" indent="1"/>
      <protection hidden="1"/>
    </xf>
    <xf numFmtId="168" fontId="22" fillId="4" borderId="5" xfId="0" applyNumberFormat="1" applyFont="1" applyFill="1" applyBorder="1" applyAlignment="1" applyProtection="1">
      <alignment horizontal="right" indent="1"/>
      <protection hidden="1"/>
    </xf>
    <xf numFmtId="168" fontId="22" fillId="4" borderId="20" xfId="0" applyNumberFormat="1" applyFont="1" applyFill="1" applyBorder="1" applyAlignment="1" applyProtection="1">
      <alignment horizontal="right" indent="1"/>
      <protection hidden="1"/>
    </xf>
    <xf numFmtId="1" fontId="19" fillId="0" borderId="27" xfId="0" applyNumberFormat="1" applyFont="1" applyBorder="1" applyAlignment="1" applyProtection="1">
      <alignment horizontal="right" indent="3"/>
      <protection hidden="1"/>
    </xf>
    <xf numFmtId="0" fontId="22" fillId="0" borderId="17" xfId="0" applyFont="1" applyBorder="1" applyAlignment="1" applyProtection="1">
      <alignment horizontal="right" indent="1"/>
      <protection hidden="1"/>
    </xf>
    <xf numFmtId="0" fontId="19" fillId="0" borderId="7" xfId="0" applyFont="1" applyBorder="1" applyProtection="1">
      <protection hidden="1"/>
    </xf>
    <xf numFmtId="167" fontId="19" fillId="0" borderId="17" xfId="1" applyNumberFormat="1" applyFont="1" applyBorder="1" applyAlignment="1" applyProtection="1">
      <alignment horizontal="right" indent="1"/>
      <protection hidden="1"/>
    </xf>
    <xf numFmtId="167" fontId="19" fillId="0" borderId="7" xfId="1" applyNumberFormat="1" applyFont="1" applyBorder="1" applyAlignment="1" applyProtection="1">
      <alignment horizontal="right" indent="1"/>
      <protection hidden="1"/>
    </xf>
    <xf numFmtId="167" fontId="19" fillId="0" borderId="18" xfId="1" applyNumberFormat="1" applyFont="1" applyBorder="1" applyAlignment="1" applyProtection="1">
      <alignment horizontal="right" indent="1"/>
      <protection hidden="1"/>
    </xf>
    <xf numFmtId="0" fontId="19" fillId="0" borderId="23" xfId="0" applyFont="1" applyBorder="1" applyProtection="1">
      <protection hidden="1"/>
    </xf>
    <xf numFmtId="168" fontId="19" fillId="0" borderId="23" xfId="0" applyNumberFormat="1" applyFont="1" applyBorder="1" applyAlignment="1" applyProtection="1">
      <alignment horizontal="right" indent="2"/>
      <protection hidden="1"/>
    </xf>
    <xf numFmtId="1" fontId="19" fillId="0" borderId="23" xfId="0" applyNumberFormat="1" applyFont="1" applyBorder="1" applyAlignment="1" applyProtection="1">
      <alignment horizontal="right" indent="3"/>
      <protection hidden="1"/>
    </xf>
    <xf numFmtId="168" fontId="19" fillId="0" borderId="0" xfId="0" applyNumberFormat="1" applyFont="1" applyAlignment="1" applyProtection="1">
      <alignment horizontal="right" indent="2"/>
      <protection hidden="1"/>
    </xf>
    <xf numFmtId="168" fontId="19" fillId="4" borderId="29" xfId="0" applyNumberFormat="1" applyFont="1" applyFill="1" applyBorder="1" applyAlignment="1" applyProtection="1">
      <alignment horizontal="right" indent="1"/>
      <protection hidden="1"/>
    </xf>
    <xf numFmtId="168" fontId="19" fillId="4" borderId="30" xfId="0" applyNumberFormat="1" applyFont="1" applyFill="1" applyBorder="1" applyAlignment="1" applyProtection="1">
      <alignment horizontal="right" indent="1"/>
      <protection hidden="1"/>
    </xf>
    <xf numFmtId="168" fontId="22" fillId="4" borderId="35" xfId="0" applyNumberFormat="1" applyFont="1" applyFill="1" applyBorder="1" applyAlignment="1" applyProtection="1">
      <alignment horizontal="right" indent="1"/>
      <protection hidden="1"/>
    </xf>
    <xf numFmtId="0" fontId="22" fillId="0" borderId="21" xfId="0" applyFont="1" applyBorder="1" applyAlignment="1" applyProtection="1">
      <alignment horizontal="right" indent="1"/>
      <protection hidden="1"/>
    </xf>
    <xf numFmtId="168" fontId="21" fillId="9" borderId="31" xfId="0" applyNumberFormat="1" applyFont="1" applyFill="1" applyBorder="1" applyAlignment="1" applyProtection="1">
      <alignment horizontal="right" indent="1"/>
      <protection hidden="1"/>
    </xf>
    <xf numFmtId="168" fontId="21" fillId="9" borderId="32" xfId="0" applyNumberFormat="1" applyFont="1" applyFill="1" applyBorder="1" applyAlignment="1" applyProtection="1">
      <alignment horizontal="right" indent="1"/>
      <protection hidden="1"/>
    </xf>
    <xf numFmtId="168" fontId="21" fillId="9" borderId="36" xfId="0" applyNumberFormat="1" applyFont="1" applyFill="1" applyBorder="1" applyAlignment="1" applyProtection="1">
      <alignment horizontal="right" indent="1"/>
      <protection hidden="1"/>
    </xf>
    <xf numFmtId="44" fontId="19" fillId="4" borderId="33" xfId="1" applyFont="1" applyFill="1" applyBorder="1" applyAlignment="1" applyProtection="1">
      <alignment horizontal="right" indent="1"/>
      <protection hidden="1"/>
    </xf>
    <xf numFmtId="44" fontId="19" fillId="4" borderId="34" xfId="1" applyFont="1" applyFill="1" applyBorder="1" applyAlignment="1" applyProtection="1">
      <alignment horizontal="right" indent="1"/>
      <protection hidden="1"/>
    </xf>
    <xf numFmtId="44" fontId="22" fillId="4" borderId="37" xfId="1" applyFont="1" applyFill="1" applyBorder="1" applyAlignment="1" applyProtection="1">
      <alignment horizontal="right" indent="1"/>
      <protection hidden="1"/>
    </xf>
    <xf numFmtId="0" fontId="26" fillId="2" borderId="1" xfId="0" applyFont="1" applyFill="1" applyBorder="1" applyAlignment="1" applyProtection="1">
      <alignment horizontal="left" vertical="center" indent="1"/>
      <protection hidden="1"/>
    </xf>
    <xf numFmtId="0" fontId="27" fillId="0" borderId="0" xfId="0" applyFont="1" applyProtection="1">
      <protection hidden="1"/>
    </xf>
    <xf numFmtId="0" fontId="27" fillId="0" borderId="0" xfId="0" applyFont="1" applyAlignment="1" applyProtection="1">
      <alignment horizontal="left" indent="1"/>
      <protection hidden="1"/>
    </xf>
    <xf numFmtId="0" fontId="29" fillId="2" borderId="41" xfId="0" applyFont="1" applyFill="1" applyBorder="1" applyAlignment="1" applyProtection="1">
      <alignment horizontal="right" indent="1"/>
      <protection hidden="1"/>
    </xf>
    <xf numFmtId="0" fontId="29" fillId="2" borderId="43" xfId="0" applyFont="1" applyFill="1" applyBorder="1" applyAlignment="1" applyProtection="1">
      <alignment horizontal="center"/>
      <protection locked="0"/>
    </xf>
    <xf numFmtId="170" fontId="27" fillId="5" borderId="9" xfId="1" applyNumberFormat="1" applyFont="1" applyFill="1" applyBorder="1" applyAlignment="1" applyProtection="1">
      <alignment horizontal="center"/>
      <protection locked="0"/>
    </xf>
    <xf numFmtId="170" fontId="27" fillId="5" borderId="45" xfId="1" applyNumberFormat="1" applyFont="1" applyFill="1" applyBorder="1" applyAlignment="1" applyProtection="1">
      <alignment horizontal="center"/>
      <protection locked="0"/>
    </xf>
    <xf numFmtId="0" fontId="32" fillId="4" borderId="7" xfId="0" applyFont="1" applyFill="1" applyBorder="1" applyAlignment="1" applyProtection="1">
      <alignment horizontal="center"/>
      <protection hidden="1"/>
    </xf>
    <xf numFmtId="0" fontId="33" fillId="4" borderId="40" xfId="0" applyFont="1" applyFill="1" applyBorder="1" applyAlignment="1" applyProtection="1">
      <alignment horizontal="center"/>
      <protection hidden="1"/>
    </xf>
    <xf numFmtId="0" fontId="33" fillId="4" borderId="7" xfId="0" applyFont="1" applyFill="1" applyBorder="1" applyAlignment="1" applyProtection="1">
      <alignment horizontal="center"/>
      <protection hidden="1"/>
    </xf>
    <xf numFmtId="0" fontId="33" fillId="4" borderId="50" xfId="0" applyFont="1" applyFill="1" applyBorder="1" applyAlignment="1" applyProtection="1">
      <alignment horizontal="center"/>
      <protection hidden="1"/>
    </xf>
    <xf numFmtId="0" fontId="27" fillId="4" borderId="22" xfId="0" applyFont="1" applyFill="1" applyBorder="1" applyAlignment="1" applyProtection="1">
      <alignment horizontal="left" indent="4"/>
      <protection hidden="1"/>
    </xf>
    <xf numFmtId="168" fontId="27" fillId="0" borderId="8" xfId="0" applyNumberFormat="1" applyFont="1" applyBorder="1" applyAlignment="1" applyProtection="1">
      <alignment horizontal="right" indent="2"/>
      <protection hidden="1"/>
    </xf>
    <xf numFmtId="1" fontId="27" fillId="0" borderId="8" xfId="0" applyNumberFormat="1" applyFont="1" applyBorder="1" applyAlignment="1" applyProtection="1">
      <alignment horizontal="right" indent="3"/>
      <protection hidden="1"/>
    </xf>
    <xf numFmtId="1" fontId="27" fillId="0" borderId="8" xfId="0" applyNumberFormat="1" applyFont="1" applyBorder="1" applyAlignment="1" applyProtection="1">
      <alignment horizontal="right" indent="2"/>
      <protection hidden="1"/>
    </xf>
    <xf numFmtId="2" fontId="27" fillId="0" borderId="8" xfId="0" applyNumberFormat="1" applyFont="1" applyBorder="1" applyAlignment="1" applyProtection="1">
      <alignment horizontal="right" indent="2"/>
      <protection hidden="1"/>
    </xf>
    <xf numFmtId="168" fontId="27" fillId="0" borderId="8" xfId="0" applyNumberFormat="1" applyFont="1" applyBorder="1" applyAlignment="1" applyProtection="1">
      <alignment horizontal="right" indent="3"/>
      <protection hidden="1"/>
    </xf>
    <xf numFmtId="167" fontId="27" fillId="0" borderId="51" xfId="1" applyNumberFormat="1" applyFont="1" applyBorder="1" applyAlignment="1" applyProtection="1">
      <alignment horizontal="right" indent="2"/>
      <protection hidden="1"/>
    </xf>
    <xf numFmtId="167" fontId="27" fillId="0" borderId="8" xfId="1" applyNumberFormat="1" applyFont="1" applyBorder="1" applyAlignment="1" applyProtection="1">
      <alignment horizontal="right" indent="2"/>
      <protection hidden="1"/>
    </xf>
    <xf numFmtId="167" fontId="27" fillId="0" borderId="52" xfId="1" applyNumberFormat="1" applyFont="1" applyBorder="1" applyAlignment="1" applyProtection="1">
      <alignment horizontal="right" indent="2"/>
      <protection hidden="1"/>
    </xf>
    <xf numFmtId="44" fontId="27" fillId="4" borderId="15" xfId="1" applyFont="1" applyFill="1" applyBorder="1" applyAlignment="1" applyProtection="1">
      <alignment horizontal="right" indent="2"/>
      <protection hidden="1"/>
    </xf>
    <xf numFmtId="0" fontId="27" fillId="4" borderId="24" xfId="0" applyFont="1" applyFill="1" applyBorder="1" applyAlignment="1" applyProtection="1">
      <alignment horizontal="left" indent="4"/>
      <protection hidden="1"/>
    </xf>
    <xf numFmtId="168" fontId="27" fillId="0" borderId="0" xfId="0" applyNumberFormat="1" applyFont="1" applyAlignment="1" applyProtection="1">
      <alignment horizontal="right" indent="2"/>
      <protection hidden="1"/>
    </xf>
    <xf numFmtId="1" fontId="27" fillId="0" borderId="0" xfId="0" applyNumberFormat="1" applyFont="1" applyAlignment="1" applyProtection="1">
      <alignment horizontal="right" indent="3"/>
      <protection hidden="1"/>
    </xf>
    <xf numFmtId="1" fontId="27" fillId="0" borderId="0" xfId="0" applyNumberFormat="1" applyFont="1" applyAlignment="1" applyProtection="1">
      <alignment horizontal="right" indent="2"/>
      <protection hidden="1"/>
    </xf>
    <xf numFmtId="2" fontId="27" fillId="0" borderId="0" xfId="0" applyNumberFormat="1" applyFont="1" applyAlignment="1" applyProtection="1">
      <alignment horizontal="right" indent="2"/>
      <protection hidden="1"/>
    </xf>
    <xf numFmtId="168" fontId="27" fillId="0" borderId="0" xfId="0" applyNumberFormat="1" applyFont="1" applyAlignment="1" applyProtection="1">
      <alignment horizontal="right" indent="3"/>
      <protection hidden="1"/>
    </xf>
    <xf numFmtId="167" fontId="27" fillId="0" borderId="39" xfId="1" applyNumberFormat="1" applyFont="1" applyBorder="1" applyAlignment="1" applyProtection="1">
      <alignment horizontal="right" indent="2"/>
      <protection locked="0"/>
    </xf>
    <xf numFmtId="167" fontId="27" fillId="0" borderId="0" xfId="1" applyNumberFormat="1" applyFont="1" applyAlignment="1" applyProtection="1">
      <alignment horizontal="right" indent="2"/>
      <protection hidden="1"/>
    </xf>
    <xf numFmtId="167" fontId="27" fillId="4" borderId="0" xfId="1" applyNumberFormat="1" applyFont="1" applyFill="1" applyAlignment="1" applyProtection="1">
      <alignment horizontal="right" indent="2"/>
      <protection hidden="1"/>
    </xf>
    <xf numFmtId="167" fontId="27" fillId="0" borderId="53" xfId="1" applyNumberFormat="1" applyFont="1" applyBorder="1" applyAlignment="1" applyProtection="1">
      <alignment horizontal="right" indent="2"/>
      <protection hidden="1"/>
    </xf>
    <xf numFmtId="44" fontId="27" fillId="4" borderId="25" xfId="1" applyFont="1" applyFill="1" applyBorder="1" applyAlignment="1" applyProtection="1">
      <alignment horizontal="right" indent="2"/>
      <protection hidden="1"/>
    </xf>
    <xf numFmtId="167" fontId="27" fillId="0" borderId="39" xfId="1" applyNumberFormat="1" applyFont="1" applyBorder="1" applyAlignment="1" applyProtection="1">
      <alignment horizontal="right" indent="2"/>
      <protection hidden="1"/>
    </xf>
    <xf numFmtId="0" fontId="27" fillId="4" borderId="23" xfId="0" applyFont="1" applyFill="1" applyBorder="1" applyAlignment="1" applyProtection="1">
      <alignment horizontal="left" indent="4"/>
      <protection hidden="1"/>
    </xf>
    <xf numFmtId="168" fontId="27" fillId="0" borderId="7" xfId="0" applyNumberFormat="1" applyFont="1" applyBorder="1" applyAlignment="1" applyProtection="1">
      <alignment horizontal="right" indent="2"/>
      <protection hidden="1"/>
    </xf>
    <xf numFmtId="1" fontId="27" fillId="0" borderId="7" xfId="0" applyNumberFormat="1" applyFont="1" applyBorder="1" applyAlignment="1" applyProtection="1">
      <alignment horizontal="right" indent="3"/>
      <protection hidden="1"/>
    </xf>
    <xf numFmtId="1" fontId="27" fillId="0" borderId="7" xfId="0" applyNumberFormat="1" applyFont="1" applyBorder="1" applyAlignment="1" applyProtection="1">
      <alignment horizontal="right" indent="2"/>
      <protection hidden="1"/>
    </xf>
    <xf numFmtId="2" fontId="27" fillId="0" borderId="7" xfId="0" applyNumberFormat="1" applyFont="1" applyBorder="1" applyAlignment="1" applyProtection="1">
      <alignment horizontal="right" indent="2"/>
      <protection hidden="1"/>
    </xf>
    <xf numFmtId="168" fontId="27" fillId="0" borderId="7" xfId="0" applyNumberFormat="1" applyFont="1" applyBorder="1" applyAlignment="1" applyProtection="1">
      <alignment horizontal="right" indent="3"/>
      <protection hidden="1"/>
    </xf>
    <xf numFmtId="167" fontId="27" fillId="0" borderId="40" xfId="1" applyNumberFormat="1" applyFont="1" applyBorder="1" applyAlignment="1" applyProtection="1">
      <alignment horizontal="right" indent="2"/>
      <protection hidden="1"/>
    </xf>
    <xf numFmtId="167" fontId="27" fillId="0" borderId="7" xfId="1" applyNumberFormat="1" applyFont="1" applyBorder="1" applyAlignment="1" applyProtection="1">
      <alignment horizontal="right" indent="2"/>
      <protection hidden="1"/>
    </xf>
    <xf numFmtId="167" fontId="27" fillId="0" borderId="50" xfId="1" applyNumberFormat="1" applyFont="1" applyBorder="1" applyAlignment="1" applyProtection="1">
      <alignment horizontal="right" indent="2"/>
      <protection hidden="1"/>
    </xf>
    <xf numFmtId="44" fontId="27" fillId="4" borderId="18" xfId="1" applyFont="1" applyFill="1" applyBorder="1" applyAlignment="1" applyProtection="1">
      <alignment horizontal="right" indent="2"/>
      <protection hidden="1"/>
    </xf>
    <xf numFmtId="0" fontId="29" fillId="2" borderId="27" xfId="0" applyFont="1" applyFill="1" applyBorder="1" applyAlignment="1" applyProtection="1">
      <alignment horizontal="left" indent="1"/>
      <protection hidden="1"/>
    </xf>
    <xf numFmtId="168" fontId="31" fillId="2" borderId="5" xfId="0" applyNumberFormat="1" applyFont="1" applyFill="1" applyBorder="1" applyAlignment="1" applyProtection="1">
      <alignment horizontal="right" indent="2"/>
      <protection hidden="1"/>
    </xf>
    <xf numFmtId="1" fontId="31" fillId="2" borderId="5" xfId="0" applyNumberFormat="1" applyFont="1" applyFill="1" applyBorder="1" applyAlignment="1" applyProtection="1">
      <alignment horizontal="right" indent="3"/>
      <protection hidden="1"/>
    </xf>
    <xf numFmtId="1" fontId="31" fillId="2" borderId="5" xfId="0" applyNumberFormat="1" applyFont="1" applyFill="1" applyBorder="1" applyAlignment="1" applyProtection="1">
      <alignment horizontal="right" indent="2"/>
      <protection hidden="1"/>
    </xf>
    <xf numFmtId="2" fontId="31" fillId="2" borderId="5" xfId="0" applyNumberFormat="1" applyFont="1" applyFill="1" applyBorder="1" applyAlignment="1" applyProtection="1">
      <alignment horizontal="right" indent="2"/>
      <protection hidden="1"/>
    </xf>
    <xf numFmtId="168" fontId="31" fillId="2" borderId="5" xfId="0" applyNumberFormat="1" applyFont="1" applyFill="1" applyBorder="1" applyAlignment="1" applyProtection="1">
      <alignment horizontal="right" indent="3"/>
      <protection hidden="1"/>
    </xf>
    <xf numFmtId="167" fontId="31" fillId="2" borderId="48" xfId="0" applyNumberFormat="1" applyFont="1" applyFill="1" applyBorder="1" applyProtection="1">
      <protection hidden="1"/>
    </xf>
    <xf numFmtId="167" fontId="31" fillId="2" borderId="5" xfId="0" applyNumberFormat="1" applyFont="1" applyFill="1" applyBorder="1" applyProtection="1">
      <protection hidden="1"/>
    </xf>
    <xf numFmtId="167" fontId="31" fillId="2" borderId="49" xfId="0" applyNumberFormat="1" applyFont="1" applyFill="1" applyBorder="1" applyProtection="1">
      <protection hidden="1"/>
    </xf>
    <xf numFmtId="0" fontId="31" fillId="2" borderId="20" xfId="0" applyFont="1" applyFill="1" applyBorder="1" applyProtection="1">
      <protection hidden="1"/>
    </xf>
    <xf numFmtId="168" fontId="27" fillId="4" borderId="0" xfId="0" applyNumberFormat="1" applyFont="1" applyFill="1" applyAlignment="1" applyProtection="1">
      <alignment horizontal="right" indent="2"/>
      <protection hidden="1"/>
    </xf>
    <xf numFmtId="1" fontId="27" fillId="4" borderId="0" xfId="0" applyNumberFormat="1" applyFont="1" applyFill="1" applyAlignment="1" applyProtection="1">
      <alignment horizontal="right" indent="3"/>
      <protection hidden="1"/>
    </xf>
    <xf numFmtId="1" fontId="27" fillId="4" borderId="0" xfId="0" applyNumberFormat="1" applyFont="1" applyFill="1" applyAlignment="1" applyProtection="1">
      <alignment horizontal="right" indent="2"/>
      <protection hidden="1"/>
    </xf>
    <xf numFmtId="2" fontId="27" fillId="4" borderId="0" xfId="0" applyNumberFormat="1" applyFont="1" applyFill="1" applyAlignment="1" applyProtection="1">
      <alignment horizontal="right" indent="2"/>
      <protection hidden="1"/>
    </xf>
    <xf numFmtId="168" fontId="27" fillId="4" borderId="0" xfId="0" applyNumberFormat="1" applyFont="1" applyFill="1" applyAlignment="1" applyProtection="1">
      <alignment horizontal="right" indent="3"/>
      <protection hidden="1"/>
    </xf>
    <xf numFmtId="167" fontId="27" fillId="4" borderId="39" xfId="0" applyNumberFormat="1" applyFont="1" applyFill="1" applyBorder="1" applyProtection="1">
      <protection hidden="1"/>
    </xf>
    <xf numFmtId="167" fontId="27" fillId="4" borderId="0" xfId="0" applyNumberFormat="1" applyFont="1" applyFill="1" applyProtection="1">
      <protection hidden="1"/>
    </xf>
    <xf numFmtId="167" fontId="27" fillId="4" borderId="53" xfId="0" applyNumberFormat="1" applyFont="1" applyFill="1" applyBorder="1" applyProtection="1">
      <protection hidden="1"/>
    </xf>
    <xf numFmtId="44" fontId="30" fillId="2" borderId="25" xfId="0" applyNumberFormat="1" applyFont="1" applyFill="1" applyBorder="1" applyProtection="1">
      <protection hidden="1"/>
    </xf>
    <xf numFmtId="0" fontId="29" fillId="2" borderId="23" xfId="0" applyFont="1" applyFill="1" applyBorder="1" applyAlignment="1" applyProtection="1">
      <alignment horizontal="left" indent="4"/>
      <protection hidden="1"/>
    </xf>
    <xf numFmtId="168" fontId="29" fillId="2" borderId="7" xfId="0" applyNumberFormat="1" applyFont="1" applyFill="1" applyBorder="1" applyAlignment="1" applyProtection="1">
      <alignment horizontal="right" indent="2"/>
      <protection hidden="1"/>
    </xf>
    <xf numFmtId="1" fontId="29" fillId="2" borderId="6" xfId="0" applyNumberFormat="1" applyFont="1" applyFill="1" applyBorder="1" applyAlignment="1" applyProtection="1">
      <alignment horizontal="right" indent="3"/>
      <protection hidden="1"/>
    </xf>
    <xf numFmtId="1" fontId="29" fillId="2" borderId="6" xfId="0" applyNumberFormat="1" applyFont="1" applyFill="1" applyBorder="1" applyAlignment="1" applyProtection="1">
      <alignment horizontal="right" indent="2"/>
      <protection hidden="1"/>
    </xf>
    <xf numFmtId="2" fontId="29" fillId="2" borderId="6" xfId="0" applyNumberFormat="1" applyFont="1" applyFill="1" applyBorder="1" applyAlignment="1" applyProtection="1">
      <alignment horizontal="right" indent="2"/>
      <protection hidden="1"/>
    </xf>
    <xf numFmtId="168" fontId="29" fillId="2" borderId="6" xfId="0" applyNumberFormat="1" applyFont="1" applyFill="1" applyBorder="1" applyAlignment="1" applyProtection="1">
      <alignment horizontal="right" indent="3"/>
      <protection hidden="1"/>
    </xf>
    <xf numFmtId="167" fontId="29" fillId="2" borderId="54" xfId="0" applyNumberFormat="1" applyFont="1" applyFill="1" applyBorder="1" applyProtection="1">
      <protection hidden="1"/>
    </xf>
    <xf numFmtId="167" fontId="29" fillId="2" borderId="6" xfId="0" applyNumberFormat="1" applyFont="1" applyFill="1" applyBorder="1" applyProtection="1">
      <protection hidden="1"/>
    </xf>
    <xf numFmtId="167" fontId="29" fillId="2" borderId="55" xfId="0" applyNumberFormat="1" applyFont="1" applyFill="1" applyBorder="1" applyProtection="1">
      <protection hidden="1"/>
    </xf>
    <xf numFmtId="44" fontId="29" fillId="2" borderId="28" xfId="0" applyNumberFormat="1" applyFont="1" applyFill="1" applyBorder="1" applyProtection="1">
      <protection hidden="1"/>
    </xf>
    <xf numFmtId="173" fontId="27" fillId="0" borderId="0" xfId="1" applyNumberFormat="1" applyFont="1" applyAlignment="1" applyProtection="1">
      <alignment horizontal="right" indent="2"/>
      <protection hidden="1"/>
    </xf>
    <xf numFmtId="173" fontId="27" fillId="0" borderId="0" xfId="1" applyNumberFormat="1" applyFont="1" applyAlignment="1" applyProtection="1">
      <alignment horizontal="right" indent="3"/>
      <protection hidden="1"/>
    </xf>
    <xf numFmtId="0" fontId="10" fillId="2" borderId="5" xfId="0" applyFont="1" applyFill="1" applyBorder="1" applyAlignment="1">
      <alignment horizontal="left" indent="1"/>
    </xf>
    <xf numFmtId="0" fontId="10" fillId="2" borderId="5" xfId="0" applyFont="1" applyFill="1" applyBorder="1" applyAlignment="1">
      <alignment horizontal="left" vertical="center" indent="1"/>
    </xf>
    <xf numFmtId="0" fontId="0" fillId="4" borderId="0" xfId="0" applyFill="1" applyAlignment="1">
      <alignment horizontal="right" indent="1"/>
    </xf>
    <xf numFmtId="0" fontId="0" fillId="4" borderId="0" xfId="0" applyFill="1" applyAlignment="1">
      <alignment horizontal="left" indent="1"/>
    </xf>
    <xf numFmtId="167" fontId="0" fillId="4" borderId="0" xfId="1" applyNumberFormat="1" applyFont="1" applyFill="1" applyAlignment="1">
      <alignment horizontal="right" indent="1"/>
    </xf>
    <xf numFmtId="4" fontId="0" fillId="0" borderId="0" xfId="0" applyNumberFormat="1" applyAlignment="1">
      <alignment horizontal="right" indent="1"/>
    </xf>
    <xf numFmtId="4" fontId="3" fillId="4" borderId="0" xfId="0" applyNumberFormat="1" applyFont="1" applyFill="1" applyAlignment="1">
      <alignment horizontal="right" indent="1"/>
    </xf>
    <xf numFmtId="4" fontId="4" fillId="0" borderId="0" xfId="0" applyNumberFormat="1" applyFont="1" applyAlignment="1">
      <alignment horizontal="right" indent="1"/>
    </xf>
    <xf numFmtId="4" fontId="0" fillId="0" borderId="7" xfId="0" applyNumberFormat="1" applyBorder="1" applyAlignment="1">
      <alignment horizontal="right" indent="1"/>
    </xf>
    <xf numFmtId="4" fontId="0" fillId="4" borderId="0" xfId="0" applyNumberFormat="1" applyFill="1" applyAlignment="1">
      <alignment horizontal="right" indent="1"/>
    </xf>
    <xf numFmtId="174" fontId="3" fillId="4" borderId="0" xfId="0" applyNumberFormat="1" applyFont="1" applyFill="1" applyAlignment="1">
      <alignment horizontal="right" indent="1"/>
    </xf>
    <xf numFmtId="174" fontId="0" fillId="0" borderId="0" xfId="0" applyNumberFormat="1" applyAlignment="1">
      <alignment horizontal="right" indent="1"/>
    </xf>
    <xf numFmtId="3" fontId="0" fillId="0" borderId="0" xfId="0" applyNumberFormat="1" applyAlignment="1">
      <alignment horizontal="right" indent="1"/>
    </xf>
    <xf numFmtId="3" fontId="3" fillId="4" borderId="0" xfId="0" applyNumberFormat="1" applyFont="1" applyFill="1" applyAlignment="1">
      <alignment horizontal="right" indent="1"/>
    </xf>
    <xf numFmtId="44" fontId="0" fillId="0" borderId="0" xfId="0" applyNumberFormat="1"/>
    <xf numFmtId="0" fontId="10" fillId="2" borderId="42" xfId="0" applyFont="1" applyFill="1" applyBorder="1" applyAlignment="1" applyProtection="1">
      <alignment horizontal="center"/>
      <protection locked="0"/>
    </xf>
    <xf numFmtId="2" fontId="5" fillId="0" borderId="0" xfId="0" applyNumberFormat="1" applyFont="1"/>
    <xf numFmtId="2" fontId="0" fillId="0" borderId="0" xfId="1" applyNumberFormat="1" applyFont="1" applyAlignment="1">
      <alignment horizontal="right" indent="1"/>
    </xf>
    <xf numFmtId="175" fontId="3" fillId="6" borderId="6" xfId="1" applyNumberFormat="1" applyFont="1" applyFill="1" applyBorder="1" applyAlignment="1">
      <alignment horizontal="right" indent="1"/>
    </xf>
    <xf numFmtId="1" fontId="27" fillId="0" borderId="0" xfId="0" applyNumberFormat="1" applyFont="1" applyAlignment="1" applyProtection="1">
      <alignment horizontal="left" indent="1"/>
      <protection hidden="1"/>
    </xf>
    <xf numFmtId="165" fontId="28" fillId="0" borderId="1" xfId="0" applyNumberFormat="1" applyFont="1" applyBorder="1" applyAlignment="1" applyProtection="1">
      <alignment horizontal="center" vertical="center"/>
      <protection locked="0"/>
    </xf>
    <xf numFmtId="164" fontId="0" fillId="0" borderId="0" xfId="0" applyNumberFormat="1"/>
    <xf numFmtId="165" fontId="6" fillId="0" borderId="1" xfId="0" applyNumberFormat="1" applyFont="1" applyBorder="1" applyAlignment="1" applyProtection="1">
      <alignment horizontal="center" vertical="center"/>
      <protection locked="0"/>
    </xf>
    <xf numFmtId="166" fontId="0" fillId="0" borderId="0" xfId="0" applyNumberFormat="1"/>
    <xf numFmtId="2" fontId="20" fillId="3" borderId="27" xfId="0" applyNumberFormat="1" applyFont="1" applyFill="1" applyBorder="1" applyAlignment="1" applyProtection="1">
      <alignment horizontal="right" indent="2"/>
      <protection hidden="1"/>
    </xf>
    <xf numFmtId="44" fontId="10" fillId="2" borderId="6" xfId="1" applyNumberFormat="1" applyFont="1" applyFill="1" applyBorder="1"/>
    <xf numFmtId="167" fontId="0" fillId="0" borderId="0" xfId="1" applyNumberFormat="1" applyFont="1" applyAlignment="1">
      <alignment horizontal="center"/>
    </xf>
    <xf numFmtId="167" fontId="0" fillId="0" borderId="7" xfId="1" applyNumberFormat="1" applyFont="1" applyBorder="1" applyAlignment="1">
      <alignment horizontal="center"/>
    </xf>
    <xf numFmtId="44" fontId="0" fillId="0" borderId="0" xfId="0" applyNumberFormat="1" applyFill="1"/>
    <xf numFmtId="0" fontId="0" fillId="0" borderId="24" xfId="0" applyFont="1" applyBorder="1" applyAlignment="1" applyProtection="1">
      <alignment horizontal="left" indent="1"/>
      <protection locked="0"/>
    </xf>
    <xf numFmtId="0" fontId="0" fillId="0" borderId="0" xfId="0" applyAlignment="1">
      <alignment horizontal="center"/>
    </xf>
    <xf numFmtId="0" fontId="30" fillId="0" borderId="44" xfId="0" applyFont="1" applyFill="1" applyBorder="1" applyAlignment="1" applyProtection="1">
      <alignment horizontal="right" indent="1"/>
      <protection hidden="1"/>
    </xf>
    <xf numFmtId="0" fontId="30" fillId="0" borderId="46" xfId="0" applyFont="1" applyFill="1" applyBorder="1" applyAlignment="1" applyProtection="1">
      <alignment horizontal="right" indent="1"/>
      <protection hidden="1"/>
    </xf>
    <xf numFmtId="0" fontId="0" fillId="4" borderId="24" xfId="0" applyFont="1" applyFill="1" applyBorder="1" applyAlignment="1" applyProtection="1">
      <alignment horizontal="left" indent="4"/>
      <protection hidden="1"/>
    </xf>
    <xf numFmtId="16" fontId="11" fillId="2" borderId="5" xfId="0" applyNumberFormat="1" applyFont="1" applyFill="1" applyBorder="1" applyAlignment="1">
      <alignment horizontal="center" vertical="center" wrapText="1"/>
    </xf>
    <xf numFmtId="2" fontId="20" fillId="3" borderId="26" xfId="0" applyNumberFormat="1" applyFont="1" applyFill="1" applyBorder="1" applyAlignment="1" applyProtection="1">
      <alignment horizontal="center" vertical="center"/>
      <protection hidden="1"/>
    </xf>
    <xf numFmtId="0" fontId="22" fillId="4" borderId="57" xfId="0" applyFont="1" applyFill="1" applyBorder="1" applyAlignment="1" applyProtection="1">
      <alignment horizontal="center" vertical="center"/>
      <protection hidden="1"/>
    </xf>
    <xf numFmtId="0" fontId="22" fillId="4" borderId="58" xfId="0" applyFont="1" applyFill="1" applyBorder="1" applyAlignment="1" applyProtection="1">
      <alignment horizontal="center" vertical="center"/>
      <protection hidden="1"/>
    </xf>
    <xf numFmtId="0" fontId="22" fillId="4" borderId="59" xfId="0" applyFont="1" applyFill="1" applyBorder="1" applyAlignment="1" applyProtection="1">
      <alignment horizontal="center" vertical="center"/>
      <protection hidden="1"/>
    </xf>
    <xf numFmtId="168" fontId="19" fillId="5" borderId="0" xfId="0" applyNumberFormat="1" applyFont="1" applyFill="1" applyBorder="1" applyAlignment="1" applyProtection="1">
      <alignment horizontal="center"/>
      <protection locked="0"/>
    </xf>
    <xf numFmtId="0" fontId="3" fillId="4" borderId="58" xfId="0" applyFont="1" applyFill="1" applyBorder="1" applyAlignment="1" applyProtection="1">
      <alignment horizontal="center" vertical="center"/>
      <protection hidden="1"/>
    </xf>
    <xf numFmtId="0" fontId="0" fillId="0" borderId="60" xfId="0" applyFont="1" applyBorder="1" applyAlignment="1">
      <alignment horizontal="left" indent="1"/>
    </xf>
    <xf numFmtId="2" fontId="19" fillId="0" borderId="0" xfId="0" applyNumberFormat="1" applyFont="1" applyProtection="1">
      <protection hidden="1"/>
    </xf>
    <xf numFmtId="2" fontId="3" fillId="4" borderId="58" xfId="0" applyNumberFormat="1" applyFont="1" applyFill="1" applyBorder="1" applyAlignment="1" applyProtection="1">
      <alignment horizontal="center" vertical="center" wrapText="1"/>
      <protection hidden="1"/>
    </xf>
    <xf numFmtId="2" fontId="19" fillId="5" borderId="0" xfId="0" applyNumberFormat="1" applyFont="1" applyFill="1" applyBorder="1" applyAlignment="1" applyProtection="1">
      <alignment horizontal="center"/>
      <protection locked="0"/>
    </xf>
    <xf numFmtId="2" fontId="22" fillId="4" borderId="5" xfId="0" applyNumberFormat="1" applyFont="1" applyFill="1" applyBorder="1" applyAlignment="1" applyProtection="1">
      <alignment horizontal="right" indent="1"/>
      <protection hidden="1"/>
    </xf>
    <xf numFmtId="2" fontId="19" fillId="0" borderId="7" xfId="1" applyNumberFormat="1" applyFont="1" applyBorder="1" applyAlignment="1" applyProtection="1">
      <alignment horizontal="right" indent="1"/>
      <protection hidden="1"/>
    </xf>
    <xf numFmtId="2" fontId="19" fillId="4" borderId="30" xfId="0" applyNumberFormat="1" applyFont="1" applyFill="1" applyBorder="1" applyAlignment="1" applyProtection="1">
      <alignment horizontal="right" indent="1"/>
      <protection hidden="1"/>
    </xf>
    <xf numFmtId="2" fontId="21" fillId="9" borderId="32" xfId="0" applyNumberFormat="1" applyFont="1" applyFill="1" applyBorder="1" applyAlignment="1" applyProtection="1">
      <alignment horizontal="right" indent="1"/>
      <protection hidden="1"/>
    </xf>
    <xf numFmtId="2" fontId="19" fillId="4" borderId="34" xfId="1" applyNumberFormat="1" applyFont="1" applyFill="1" applyBorder="1" applyAlignment="1" applyProtection="1">
      <alignment horizontal="right" indent="1"/>
      <protection hidden="1"/>
    </xf>
    <xf numFmtId="1" fontId="27" fillId="5" borderId="0" xfId="1" applyNumberFormat="1" applyFont="1" applyFill="1" applyBorder="1" applyAlignment="1" applyProtection="1">
      <alignment horizontal="center"/>
      <protection locked="0"/>
    </xf>
    <xf numFmtId="168" fontId="27" fillId="5" borderId="0" xfId="1" applyNumberFormat="1" applyFont="1" applyFill="1" applyBorder="1" applyAlignment="1" applyProtection="1">
      <alignment horizontal="center"/>
      <protection locked="0"/>
    </xf>
    <xf numFmtId="2" fontId="27" fillId="5" borderId="0" xfId="1" applyNumberFormat="1" applyFont="1" applyFill="1" applyBorder="1" applyAlignment="1" applyProtection="1">
      <alignment horizontal="center"/>
      <protection locked="0"/>
    </xf>
    <xf numFmtId="1" fontId="27" fillId="0" borderId="0" xfId="0" applyNumberFormat="1" applyFont="1" applyAlignment="1" applyProtection="1">
      <alignment horizontal="center"/>
      <protection hidden="1"/>
    </xf>
    <xf numFmtId="0" fontId="0" fillId="0" borderId="61" xfId="0" applyBorder="1" applyAlignment="1">
      <alignment horizontal="right" indent="1"/>
    </xf>
    <xf numFmtId="167" fontId="0" fillId="0" borderId="62" xfId="1" applyNumberFormat="1" applyFont="1" applyBorder="1" applyAlignment="1">
      <alignment horizontal="right" indent="1"/>
    </xf>
    <xf numFmtId="0" fontId="0" fillId="0" borderId="39" xfId="0" applyBorder="1" applyAlignment="1">
      <alignment horizontal="right" indent="1"/>
    </xf>
    <xf numFmtId="167" fontId="0" fillId="0" borderId="53" xfId="1" applyNumberFormat="1" applyFont="1" applyBorder="1" applyAlignment="1">
      <alignment horizontal="right" indent="1"/>
    </xf>
    <xf numFmtId="0" fontId="0" fillId="4" borderId="39" xfId="0" applyFill="1" applyBorder="1" applyAlignment="1">
      <alignment horizontal="right" indent="1"/>
    </xf>
    <xf numFmtId="167" fontId="0" fillId="4" borderId="53" xfId="1" applyNumberFormat="1" applyFont="1" applyFill="1" applyBorder="1" applyAlignment="1">
      <alignment horizontal="right" indent="1"/>
    </xf>
    <xf numFmtId="167" fontId="37" fillId="0" borderId="53" xfId="1" applyNumberFormat="1" applyFont="1" applyBorder="1" applyAlignment="1">
      <alignment horizontal="right" indent="1"/>
    </xf>
    <xf numFmtId="0" fontId="0" fillId="0" borderId="63" xfId="0" applyBorder="1" applyAlignment="1">
      <alignment horizontal="right" indent="1"/>
    </xf>
    <xf numFmtId="167" fontId="0" fillId="0" borderId="64" xfId="1" applyNumberFormat="1" applyFont="1" applyBorder="1" applyAlignment="1">
      <alignment horizontal="right" indent="1"/>
    </xf>
    <xf numFmtId="173" fontId="27" fillId="0" borderId="0" xfId="1" applyNumberFormat="1" applyFont="1" applyBorder="1" applyAlignment="1" applyProtection="1">
      <alignment horizontal="right" indent="2"/>
      <protection hidden="1"/>
    </xf>
    <xf numFmtId="173" fontId="27" fillId="0" borderId="0" xfId="1" applyNumberFormat="1" applyFont="1" applyBorder="1" applyAlignment="1" applyProtection="1">
      <alignment horizontal="right" indent="3"/>
      <protection hidden="1"/>
    </xf>
    <xf numFmtId="0" fontId="10" fillId="10" borderId="0" xfId="0" applyFont="1" applyFill="1" applyAlignment="1">
      <alignment horizontal="center" wrapText="1"/>
    </xf>
    <xf numFmtId="167" fontId="17" fillId="0" borderId="58" xfId="1" applyNumberFormat="1" applyFont="1" applyFill="1" applyBorder="1" applyAlignment="1">
      <alignment horizontal="right" indent="1"/>
    </xf>
    <xf numFmtId="167" fontId="17" fillId="0" borderId="0" xfId="1" applyNumberFormat="1" applyFont="1" applyFill="1" applyBorder="1" applyAlignment="1">
      <alignment horizontal="right" indent="1"/>
    </xf>
    <xf numFmtId="167" fontId="0" fillId="0" borderId="0" xfId="1" applyNumberFormat="1" applyFont="1" applyFill="1" applyBorder="1" applyAlignment="1">
      <alignment horizontal="right" indent="1"/>
    </xf>
    <xf numFmtId="167" fontId="37" fillId="0" borderId="0" xfId="1" applyNumberFormat="1" applyFont="1" applyFill="1" applyBorder="1" applyAlignment="1">
      <alignment horizontal="right" indent="1"/>
    </xf>
    <xf numFmtId="167" fontId="0" fillId="0" borderId="56" xfId="1" applyNumberFormat="1" applyFont="1" applyFill="1" applyBorder="1" applyAlignment="1">
      <alignment horizontal="right" indent="1"/>
    </xf>
    <xf numFmtId="0" fontId="0" fillId="0" borderId="44" xfId="0" applyFont="1" applyFill="1" applyBorder="1" applyAlignment="1" applyProtection="1">
      <alignment horizontal="right" indent="1"/>
      <protection hidden="1"/>
    </xf>
    <xf numFmtId="0" fontId="38" fillId="0" borderId="0" xfId="0" applyFont="1" applyAlignment="1">
      <alignment vertical="center" wrapText="1"/>
    </xf>
    <xf numFmtId="17" fontId="0" fillId="0" borderId="0" xfId="0" applyNumberFormat="1" applyAlignment="1">
      <alignment horizontal="center" vertical="center"/>
    </xf>
    <xf numFmtId="0" fontId="0" fillId="0" borderId="61" xfId="0" applyBorder="1" applyAlignment="1">
      <alignment horizontal="left" vertical="center" indent="1"/>
    </xf>
    <xf numFmtId="0" fontId="11" fillId="2" borderId="58" xfId="0" applyFont="1" applyFill="1" applyBorder="1" applyAlignment="1">
      <alignment horizontal="left" vertical="center" indent="1"/>
    </xf>
    <xf numFmtId="0" fontId="0" fillId="0" borderId="58" xfId="0" applyBorder="1" applyAlignment="1">
      <alignment horizontal="center" vertical="center"/>
    </xf>
    <xf numFmtId="16" fontId="0" fillId="0" borderId="58" xfId="0" applyNumberFormat="1" applyBorder="1" applyAlignment="1">
      <alignment horizontal="center" vertical="center"/>
    </xf>
    <xf numFmtId="16" fontId="0" fillId="0" borderId="62" xfId="0" applyNumberFormat="1" applyBorder="1" applyAlignment="1">
      <alignment horizontal="center" vertical="center"/>
    </xf>
    <xf numFmtId="0" fontId="0" fillId="0" borderId="61" xfId="0" applyFill="1" applyBorder="1" applyAlignment="1">
      <alignment horizontal="left" indent="1"/>
    </xf>
    <xf numFmtId="167" fontId="17" fillId="0" borderId="62" xfId="1" applyNumberFormat="1" applyFont="1" applyFill="1" applyBorder="1" applyAlignment="1">
      <alignment horizontal="right" indent="1"/>
    </xf>
    <xf numFmtId="0" fontId="0" fillId="0" borderId="39" xfId="0" applyFill="1" applyBorder="1" applyAlignment="1">
      <alignment horizontal="left" indent="1"/>
    </xf>
    <xf numFmtId="167" fontId="17" fillId="0" borderId="53" xfId="1" applyNumberFormat="1" applyFont="1" applyFill="1" applyBorder="1" applyAlignment="1">
      <alignment horizontal="right" indent="1"/>
    </xf>
    <xf numFmtId="167" fontId="0" fillId="0" borderId="53" xfId="1" applyNumberFormat="1" applyFont="1" applyFill="1" applyBorder="1" applyAlignment="1">
      <alignment horizontal="right" indent="1"/>
    </xf>
    <xf numFmtId="167" fontId="4" fillId="0" borderId="53" xfId="1" applyNumberFormat="1" applyFont="1" applyFill="1" applyBorder="1" applyAlignment="1">
      <alignment horizontal="right" indent="1"/>
    </xf>
    <xf numFmtId="0" fontId="0" fillId="0" borderId="63" xfId="0" applyFill="1" applyBorder="1" applyAlignment="1">
      <alignment horizontal="left" indent="1"/>
    </xf>
    <xf numFmtId="167" fontId="0" fillId="0" borderId="64" xfId="1" applyNumberFormat="1" applyFont="1" applyFill="1" applyBorder="1" applyAlignment="1">
      <alignment horizontal="right" indent="1"/>
    </xf>
    <xf numFmtId="0" fontId="0" fillId="11" borderId="39" xfId="0" applyFill="1" applyBorder="1" applyAlignment="1">
      <alignment horizontal="left" indent="1"/>
    </xf>
    <xf numFmtId="167" fontId="17" fillId="11" borderId="0" xfId="1" applyNumberFormat="1" applyFont="1" applyFill="1" applyBorder="1" applyAlignment="1">
      <alignment horizontal="right" indent="1"/>
    </xf>
    <xf numFmtId="167" fontId="17" fillId="11" borderId="53" xfId="1" applyNumberFormat="1" applyFont="1" applyFill="1" applyBorder="1" applyAlignment="1">
      <alignment horizontal="right" indent="1"/>
    </xf>
    <xf numFmtId="167" fontId="0" fillId="11" borderId="0" xfId="1" applyNumberFormat="1" applyFont="1" applyFill="1" applyBorder="1" applyAlignment="1">
      <alignment horizontal="right" indent="1"/>
    </xf>
    <xf numFmtId="167" fontId="0" fillId="11" borderId="53" xfId="1" applyNumberFormat="1" applyFont="1" applyFill="1" applyBorder="1" applyAlignment="1">
      <alignment horizontal="right" indent="1"/>
    </xf>
    <xf numFmtId="167" fontId="37" fillId="11" borderId="0" xfId="1" applyNumberFormat="1" applyFont="1" applyFill="1" applyBorder="1" applyAlignment="1">
      <alignment horizontal="right" indent="1"/>
    </xf>
    <xf numFmtId="167" fontId="4" fillId="11" borderId="53" xfId="1" applyNumberFormat="1" applyFont="1" applyFill="1" applyBorder="1" applyAlignment="1">
      <alignment horizontal="right" indent="1"/>
    </xf>
    <xf numFmtId="0" fontId="0" fillId="11" borderId="0" xfId="0" applyFill="1" applyAlignment="1">
      <alignment horizontal="left" indent="1"/>
    </xf>
    <xf numFmtId="167" fontId="0" fillId="11" borderId="0" xfId="1" applyNumberFormat="1" applyFont="1" applyFill="1" applyAlignment="1">
      <alignment horizontal="right" indent="1"/>
    </xf>
    <xf numFmtId="167" fontId="4" fillId="11" borderId="0" xfId="1" applyNumberFormat="1" applyFont="1" applyFill="1" applyAlignment="1">
      <alignment horizontal="right" indent="1"/>
    </xf>
    <xf numFmtId="44" fontId="27" fillId="0" borderId="0" xfId="0" applyNumberFormat="1" applyFont="1" applyProtection="1">
      <protection hidden="1"/>
    </xf>
    <xf numFmtId="16" fontId="28" fillId="0" borderId="1" xfId="0" applyNumberFormat="1" applyFont="1" applyBorder="1" applyAlignment="1" applyProtection="1">
      <alignment horizontal="center" vertical="center"/>
      <protection locked="0"/>
    </xf>
    <xf numFmtId="0" fontId="6" fillId="0" borderId="2" xfId="0" applyFont="1" applyBorder="1" applyAlignment="1">
      <alignment horizontal="left" vertical="center" indent="3"/>
    </xf>
    <xf numFmtId="0" fontId="6" fillId="0" borderId="3" xfId="0" applyFont="1" applyBorder="1" applyAlignment="1">
      <alignment horizontal="left" vertical="center" indent="3"/>
    </xf>
    <xf numFmtId="0" fontId="6" fillId="0" borderId="4" xfId="0" applyFont="1" applyBorder="1" applyAlignment="1">
      <alignment horizontal="left" vertical="center" indent="3"/>
    </xf>
    <xf numFmtId="0" fontId="3" fillId="0" borderId="39" xfId="0" applyFont="1" applyBorder="1" applyAlignment="1">
      <alignment horizontal="left"/>
    </xf>
    <xf numFmtId="0" fontId="3" fillId="0" borderId="0" xfId="0" applyFont="1" applyAlignment="1">
      <alignment horizontal="left"/>
    </xf>
    <xf numFmtId="0" fontId="3" fillId="0" borderId="40" xfId="0" applyFont="1" applyBorder="1" applyAlignment="1">
      <alignment horizontal="left"/>
    </xf>
    <xf numFmtId="0" fontId="3" fillId="0" borderId="7" xfId="0" applyFont="1" applyBorder="1" applyAlignment="1">
      <alignment horizontal="left"/>
    </xf>
    <xf numFmtId="0" fontId="10" fillId="9" borderId="15" xfId="0" applyFont="1" applyFill="1" applyBorder="1" applyAlignment="1" applyProtection="1">
      <alignment horizontal="center" vertical="center" wrapText="1"/>
      <protection hidden="1"/>
    </xf>
    <xf numFmtId="0" fontId="10" fillId="9" borderId="18" xfId="0" applyFont="1" applyFill="1" applyBorder="1" applyAlignment="1" applyProtection="1">
      <alignment horizontal="center" vertical="center"/>
      <protection hidden="1"/>
    </xf>
    <xf numFmtId="0" fontId="18" fillId="9" borderId="21" xfId="0" applyFont="1" applyFill="1" applyBorder="1" applyAlignment="1" applyProtection="1">
      <alignment horizontal="center"/>
      <protection hidden="1"/>
    </xf>
    <xf numFmtId="0" fontId="18" fillId="9" borderId="0" xfId="0" applyFont="1" applyFill="1" applyBorder="1" applyAlignment="1" applyProtection="1">
      <alignment horizontal="center"/>
      <protection hidden="1"/>
    </xf>
    <xf numFmtId="0" fontId="18" fillId="9" borderId="25" xfId="0" applyFont="1" applyFill="1" applyBorder="1" applyAlignment="1" applyProtection="1">
      <alignment horizontal="center"/>
      <protection hidden="1"/>
    </xf>
    <xf numFmtId="0" fontId="18" fillId="2" borderId="2" xfId="0" applyFont="1" applyFill="1" applyBorder="1" applyAlignment="1" applyProtection="1">
      <alignment horizontal="left" vertical="center" indent="1"/>
      <protection hidden="1"/>
    </xf>
    <xf numFmtId="0" fontId="18" fillId="2" borderId="4" xfId="0" applyFont="1" applyFill="1" applyBorder="1" applyAlignment="1" applyProtection="1">
      <alignment horizontal="left" vertical="center" indent="1"/>
      <protection hidden="1"/>
    </xf>
    <xf numFmtId="0" fontId="10" fillId="2" borderId="22" xfId="0" applyFont="1" applyFill="1" applyBorder="1" applyAlignment="1" applyProtection="1">
      <alignment horizontal="left" vertical="center" indent="1"/>
      <protection hidden="1"/>
    </xf>
    <xf numFmtId="0" fontId="10" fillId="2" borderId="24" xfId="0" applyFont="1" applyFill="1" applyBorder="1" applyAlignment="1" applyProtection="1">
      <alignment horizontal="left" vertical="center" indent="1"/>
      <protection hidden="1"/>
    </xf>
    <xf numFmtId="0" fontId="10" fillId="2" borderId="23" xfId="0" applyFont="1" applyFill="1" applyBorder="1" applyAlignment="1" applyProtection="1">
      <alignment horizontal="left" vertical="center" indent="1"/>
      <protection hidden="1"/>
    </xf>
    <xf numFmtId="0" fontId="10" fillId="2" borderId="22" xfId="0" applyFont="1" applyFill="1" applyBorder="1" applyAlignment="1" applyProtection="1">
      <alignment horizontal="center" vertical="center" wrapText="1"/>
      <protection hidden="1"/>
    </xf>
    <xf numFmtId="0" fontId="10" fillId="2" borderId="24" xfId="0" applyFont="1" applyFill="1" applyBorder="1" applyAlignment="1" applyProtection="1">
      <alignment horizontal="center" vertical="center"/>
      <protection hidden="1"/>
    </xf>
    <xf numFmtId="0" fontId="10" fillId="2" borderId="17" xfId="0" applyFont="1" applyFill="1" applyBorder="1" applyAlignment="1" applyProtection="1">
      <alignment horizontal="center" vertical="center"/>
      <protection hidden="1"/>
    </xf>
    <xf numFmtId="0" fontId="10" fillId="2" borderId="5" xfId="0" applyFont="1" applyFill="1" applyBorder="1" applyAlignment="1" applyProtection="1">
      <alignment horizontal="center"/>
      <protection hidden="1"/>
    </xf>
    <xf numFmtId="0" fontId="10" fillId="2" borderId="20" xfId="0" applyFont="1" applyFill="1" applyBorder="1" applyAlignment="1" applyProtection="1">
      <alignment horizontal="center"/>
      <protection hidden="1"/>
    </xf>
    <xf numFmtId="0" fontId="22" fillId="7" borderId="22" xfId="0" applyFont="1" applyFill="1" applyBorder="1" applyAlignment="1" applyProtection="1">
      <alignment horizontal="center" vertical="center" wrapText="1"/>
      <protection hidden="1"/>
    </xf>
    <xf numFmtId="0" fontId="22" fillId="7" borderId="23" xfId="0" applyFont="1" applyFill="1" applyBorder="1" applyAlignment="1" applyProtection="1">
      <alignment horizontal="center" vertical="center"/>
      <protection hidden="1"/>
    </xf>
    <xf numFmtId="0" fontId="21" fillId="8" borderId="22" xfId="0" applyFont="1" applyFill="1" applyBorder="1" applyAlignment="1" applyProtection="1">
      <alignment horizontal="center" vertical="center" wrapText="1"/>
      <protection hidden="1"/>
    </xf>
    <xf numFmtId="0" fontId="21" fillId="8" borderId="23" xfId="0" applyFont="1" applyFill="1" applyBorder="1" applyAlignment="1" applyProtection="1">
      <alignment horizontal="center" vertical="center"/>
      <protection hidden="1"/>
    </xf>
    <xf numFmtId="169" fontId="27" fillId="5" borderId="10" xfId="2" applyNumberFormat="1" applyFont="1" applyFill="1" applyBorder="1" applyAlignment="1" applyProtection="1">
      <alignment horizontal="center"/>
      <protection locked="0"/>
    </xf>
    <xf numFmtId="169" fontId="27" fillId="5" borderId="16" xfId="2" applyNumberFormat="1" applyFont="1" applyFill="1" applyBorder="1" applyAlignment="1" applyProtection="1">
      <alignment horizontal="center"/>
      <protection locked="0"/>
    </xf>
    <xf numFmtId="0" fontId="10" fillId="2" borderId="8" xfId="0" applyFont="1" applyFill="1" applyBorder="1" applyAlignment="1" applyProtection="1">
      <alignment horizontal="center" vertical="center" wrapText="1"/>
      <protection hidden="1"/>
    </xf>
    <xf numFmtId="0" fontId="10" fillId="2" borderId="7" xfId="0" applyFont="1" applyFill="1" applyBorder="1" applyAlignment="1" applyProtection="1">
      <alignment horizontal="center" vertical="center"/>
      <protection hidden="1"/>
    </xf>
    <xf numFmtId="0" fontId="11" fillId="2" borderId="48" xfId="0" applyFont="1" applyFill="1" applyBorder="1" applyAlignment="1" applyProtection="1">
      <alignment horizontal="center"/>
      <protection hidden="1"/>
    </xf>
    <xf numFmtId="0" fontId="11" fillId="2" borderId="5" xfId="0" applyFont="1" applyFill="1" applyBorder="1" applyAlignment="1" applyProtection="1">
      <alignment horizontal="center"/>
      <protection hidden="1"/>
    </xf>
    <xf numFmtId="0" fontId="11" fillId="2" borderId="49" xfId="0" applyFont="1" applyFill="1" applyBorder="1" applyAlignment="1" applyProtection="1">
      <alignment horizontal="center"/>
      <protection hidden="1"/>
    </xf>
    <xf numFmtId="0" fontId="10" fillId="2" borderId="15" xfId="0" applyFont="1" applyFill="1" applyBorder="1" applyAlignment="1" applyProtection="1">
      <alignment horizontal="center" vertical="center" wrapText="1"/>
      <protection hidden="1"/>
    </xf>
    <xf numFmtId="0" fontId="10" fillId="2" borderId="18" xfId="0" applyFont="1" applyFill="1" applyBorder="1" applyAlignment="1" applyProtection="1">
      <alignment horizontal="center" vertical="center"/>
      <protection hidden="1"/>
    </xf>
    <xf numFmtId="171" fontId="27" fillId="5" borderId="47" xfId="1" applyNumberFormat="1" applyFont="1" applyFill="1" applyBorder="1" applyAlignment="1" applyProtection="1">
      <alignment horizontal="center"/>
      <protection locked="0"/>
    </xf>
    <xf numFmtId="171" fontId="27" fillId="5" borderId="28" xfId="1" applyNumberFormat="1" applyFont="1" applyFill="1" applyBorder="1" applyAlignment="1" applyProtection="1">
      <alignment horizontal="center"/>
      <protection locked="0"/>
    </xf>
    <xf numFmtId="0" fontId="39" fillId="0" borderId="0" xfId="0" applyFont="1" applyAlignment="1">
      <alignment horizontal="left" vertical="center" wrapText="1"/>
    </xf>
    <xf numFmtId="0" fontId="2"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2" xfId="0" applyFont="1" applyFill="1" applyBorder="1" applyAlignment="1">
      <alignment horizontal="left" indent="1"/>
    </xf>
    <xf numFmtId="0" fontId="9" fillId="2" borderId="3" xfId="0" applyFont="1" applyFill="1" applyBorder="1" applyAlignment="1">
      <alignment horizontal="left" indent="1"/>
    </xf>
    <xf numFmtId="0" fontId="9" fillId="2" borderId="4" xfId="0" applyFont="1" applyFill="1" applyBorder="1" applyAlignment="1">
      <alignment horizontal="left" indent="1"/>
    </xf>
  </cellXfs>
  <cellStyles count="7">
    <cellStyle name="Comma 2" xfId="4" xr:uid="{A197F6F7-C49C-4FAF-9401-A5AB87016E4E}"/>
    <cellStyle name="Currency" xfId="1" builtinId="4"/>
    <cellStyle name="Currency 2" xfId="6" xr:uid="{D4A59210-E780-429C-B9F4-E0D6A2DF6935}"/>
    <cellStyle name="Normal" xfId="0" builtinId="0"/>
    <cellStyle name="Normal 2" xfId="5" xr:uid="{E54AE870-60DB-4BC7-B1D3-8115471EFD44}"/>
    <cellStyle name="Normal 3" xfId="3" xr:uid="{EAEF98F0-D058-46CE-A6D5-74B72D415B23}"/>
    <cellStyle name="Percent" xfId="2" builtinId="5"/>
  </cellStyles>
  <dxfs count="18">
    <dxf>
      <font>
        <b val="0"/>
        <i val="0"/>
        <strike val="0"/>
        <condense val="0"/>
        <extend val="0"/>
        <outline val="0"/>
        <shadow val="0"/>
        <u val="none"/>
        <vertAlign val="baseline"/>
        <sz val="12"/>
        <color theme="1"/>
        <name val="Cambria"/>
        <scheme val="none"/>
      </font>
      <numFmt numFmtId="167" formatCode="_-&quot;$&quot;* #,##0.0_-;\-&quot;$&quot;* #,##0.0_-;_-&quot;$&quot;* &quot;-&quot;??_-;_-@_-"/>
      <alignment horizontal="right" vertical="bottom" textRotation="0" wrapText="0" indent="1" justifyLastLine="0" shrinkToFit="0" readingOrder="0"/>
    </dxf>
    <dxf>
      <font>
        <b val="0"/>
        <i val="0"/>
        <strike val="0"/>
        <condense val="0"/>
        <extend val="0"/>
        <outline val="0"/>
        <shadow val="0"/>
        <u val="none"/>
        <vertAlign val="baseline"/>
        <sz val="12"/>
        <color theme="1"/>
        <name val="Cambria"/>
        <family val="1"/>
        <scheme val="none"/>
      </font>
      <numFmt numFmtId="167" formatCode="_-&quot;$&quot;* #,##0.0_-;\-&quot;$&quot;* #,##0.0_-;_-&quot;$&quot;* &quot;-&quot;??_-;_-@_-"/>
      <alignment horizontal="right" vertical="bottom" textRotation="0" wrapText="0" indent="1" justifyLastLine="0" shrinkToFit="0" readingOrder="0"/>
    </dxf>
    <dxf>
      <font>
        <b val="0"/>
        <i val="0"/>
        <strike val="0"/>
        <condense val="0"/>
        <extend val="0"/>
        <outline val="0"/>
        <shadow val="0"/>
        <u val="none"/>
        <vertAlign val="baseline"/>
        <sz val="12"/>
        <color theme="1"/>
        <name val="Cambria"/>
        <family val="1"/>
        <scheme val="none"/>
      </font>
      <numFmt numFmtId="167" formatCode="_-&quot;$&quot;* #,##0.0_-;\-&quot;$&quot;* #,##0.0_-;_-&quot;$&quot;* &quot;-&quot;??_-;_-@_-"/>
      <alignment horizontal="right" vertical="bottom" textRotation="0" wrapText="0" indent="1" justifyLastLine="0" shrinkToFit="0" readingOrder="0"/>
    </dxf>
    <dxf>
      <font>
        <b val="0"/>
        <i val="0"/>
        <strike val="0"/>
        <condense val="0"/>
        <extend val="0"/>
        <outline val="0"/>
        <shadow val="0"/>
        <u val="none"/>
        <vertAlign val="baseline"/>
        <sz val="12"/>
        <color theme="1"/>
        <name val="Cambria"/>
        <family val="1"/>
        <scheme val="none"/>
      </font>
      <numFmt numFmtId="167" formatCode="_-&quot;$&quot;* #,##0.0_-;\-&quot;$&quot;* #,##0.0_-;_-&quot;$&quot;* &quot;-&quot;??_-;_-@_-"/>
      <alignment horizontal="right" vertical="bottom" textRotation="0" wrapText="0" indent="1" justifyLastLine="0" shrinkToFit="0" readingOrder="0"/>
    </dxf>
    <dxf>
      <font>
        <b val="0"/>
        <i val="0"/>
        <strike val="0"/>
        <condense val="0"/>
        <extend val="0"/>
        <outline val="0"/>
        <shadow val="0"/>
        <u val="none"/>
        <vertAlign val="baseline"/>
        <sz val="12"/>
        <color theme="1"/>
        <name val="Cambria"/>
        <family val="2"/>
        <scheme val="none"/>
      </font>
      <numFmt numFmtId="167" formatCode="_-&quot;$&quot;* #,##0.0_-;\-&quot;$&quot;* #,##0.0_-;_-&quot;$&quot;* &quot;-&quot;??_-;_-@_-"/>
      <fill>
        <patternFill patternType="solid">
          <fgColor indexed="64"/>
          <bgColor theme="4" tint="0.79998168889431442"/>
        </patternFill>
      </fill>
      <alignment horizontal="right" vertical="bottom" textRotation="0" wrapText="0" indent="1" justifyLastLine="0" shrinkToFit="0" readingOrder="0"/>
    </dxf>
    <dxf>
      <font>
        <b val="0"/>
        <i val="0"/>
        <strike val="0"/>
        <condense val="0"/>
        <extend val="0"/>
        <outline val="0"/>
        <shadow val="0"/>
        <u val="none"/>
        <vertAlign val="baseline"/>
        <sz val="12"/>
        <color theme="1"/>
        <name val="Cambria"/>
        <family val="2"/>
        <scheme val="none"/>
      </font>
      <numFmt numFmtId="167" formatCode="_-&quot;$&quot;* #,##0.0_-;\-&quot;$&quot;* #,##0.0_-;_-&quot;$&quot;* &quot;-&quot;??_-;_-@_-"/>
      <fill>
        <patternFill patternType="solid">
          <fgColor indexed="64"/>
          <bgColor theme="4" tint="0.79998168889431442"/>
        </patternFill>
      </fill>
      <alignment horizontal="right" vertical="bottom" textRotation="0" wrapText="0" indent="1" justifyLastLine="0" shrinkToFit="0" readingOrder="0"/>
    </dxf>
    <dxf>
      <font>
        <b val="0"/>
        <i val="0"/>
        <strike val="0"/>
        <condense val="0"/>
        <extend val="0"/>
        <outline val="0"/>
        <shadow val="0"/>
        <u val="none"/>
        <vertAlign val="baseline"/>
        <sz val="12"/>
        <color theme="1"/>
        <name val="Cambria"/>
        <family val="2"/>
        <scheme val="none"/>
      </font>
      <numFmt numFmtId="167" formatCode="_-&quot;$&quot;* #,##0.0_-;\-&quot;$&quot;* #,##0.0_-;_-&quot;$&quot;* &quot;-&quot;??_-;_-@_-"/>
      <fill>
        <patternFill patternType="solid">
          <fgColor indexed="64"/>
          <bgColor theme="4" tint="0.79998168889431442"/>
        </patternFill>
      </fill>
      <alignment horizontal="right" vertical="bottom" textRotation="0" wrapText="0" indent="1" justifyLastLine="0" shrinkToFit="0" readingOrder="0"/>
    </dxf>
    <dxf>
      <font>
        <b val="0"/>
        <i val="0"/>
        <strike val="0"/>
        <condense val="0"/>
        <extend val="0"/>
        <outline val="0"/>
        <shadow val="0"/>
        <u val="none"/>
        <vertAlign val="baseline"/>
        <sz val="12"/>
        <color theme="1"/>
        <name val="Cambria"/>
        <scheme val="none"/>
      </font>
      <numFmt numFmtId="167" formatCode="_-&quot;$&quot;* #,##0.0_-;\-&quot;$&quot;* #,##0.0_-;_-&quot;$&quot;* &quot;-&quot;??_-;_-@_-"/>
      <alignment horizontal="right" vertical="bottom" textRotation="0" wrapText="0" indent="1" justifyLastLine="0" shrinkToFit="0" readingOrder="0"/>
    </dxf>
    <dxf>
      <font>
        <b val="0"/>
        <i val="0"/>
        <strike val="0"/>
        <condense val="0"/>
        <extend val="0"/>
        <outline val="0"/>
        <shadow val="0"/>
        <u val="none"/>
        <vertAlign val="baseline"/>
        <sz val="12"/>
        <color theme="1"/>
        <name val="Cambria"/>
        <family val="1"/>
        <scheme val="none"/>
      </font>
      <numFmt numFmtId="167" formatCode="_-&quot;$&quot;* #,##0.0_-;\-&quot;$&quot;* #,##0.0_-;_-&quot;$&quot;* &quot;-&quot;??_-;_-@_-"/>
      <fill>
        <patternFill patternType="solid">
          <fgColor indexed="64"/>
          <bgColor theme="4" tint="0.79998168889431442"/>
        </patternFill>
      </fill>
      <alignment horizontal="right" vertical="bottom" textRotation="0" wrapText="0" indent="1" justifyLastLine="0" shrinkToFit="0" readingOrder="0"/>
    </dxf>
    <dxf>
      <alignment horizontal="left" vertical="bottom" textRotation="0" wrapText="0" indent="1" justifyLastLine="0" shrinkToFit="0" readingOrder="0"/>
    </dxf>
    <dxf>
      <alignment horizontal="right" vertical="bottom" textRotation="0" wrapText="0" indent="1" justifyLastLine="0" shrinkToFit="0" readingOrder="0"/>
    </dxf>
    <dxf>
      <font>
        <b val="0"/>
        <i val="0"/>
        <strike val="0"/>
        <condense val="0"/>
        <extend val="0"/>
        <outline val="0"/>
        <shadow val="0"/>
        <u val="none"/>
        <vertAlign val="baseline"/>
        <sz val="12"/>
        <color theme="1"/>
        <name val="Cambria"/>
        <scheme val="none"/>
      </font>
      <alignment horizontal="right" vertical="bottom" textRotation="0" wrapText="0" indent="1" justifyLastLine="0" shrinkToFit="0" readingOrder="0"/>
    </dxf>
    <dxf>
      <alignment horizontal="center" vertical="bottom" textRotation="0" wrapText="1" indent="0" justifyLastLine="0" shrinkToFit="0" readingOrder="0"/>
    </dxf>
    <dxf>
      <numFmt numFmtId="173" formatCode="_-&quot;$&quot;* #,##0.0_-;[Red]\-&quot;$&quot;* #,##0.0_-;[Red]_-&quot;$&quot;* &quot;-&quot;??_-;_-@_-"/>
      <alignment horizontal="right" vertical="bottom" textRotation="0" wrapText="0" indent="3" justifyLastLine="0" shrinkToFit="0" readingOrder="0"/>
      <protection locked="1" hidden="1"/>
    </dxf>
    <dxf>
      <numFmt numFmtId="173" formatCode="_-&quot;$&quot;* #,##0.0_-;[Red]\-&quot;$&quot;* #,##0.0_-;[Red]_-&quot;$&quot;* &quot;-&quot;??_-;_-@_-"/>
      <alignment horizontal="right" vertical="bottom" textRotation="0" wrapText="0" indent="2" justifyLastLine="0" shrinkToFit="0" readingOrder="0"/>
      <protection locked="1" hidden="1"/>
    </dxf>
    <dxf>
      <numFmt numFmtId="173" formatCode="_-&quot;$&quot;* #,##0.0_-;[Red]\-&quot;$&quot;* #,##0.0_-;[Red]_-&quot;$&quot;* &quot;-&quot;??_-;_-@_-"/>
      <alignment horizontal="right" vertical="bottom" textRotation="0" wrapText="0" indent="2" justifyLastLine="0" shrinkToFit="0" readingOrder="0"/>
      <protection locked="1" hidden="1"/>
    </dxf>
    <dxf>
      <alignment horizontal="left" vertical="bottom" textRotation="0" wrapText="0" indent="1" justifyLastLine="0" shrinkToFit="0" readingOrder="0"/>
      <protection locked="1" hidden="1"/>
    </dxf>
    <dxf>
      <alignment horizontal="left" vertical="bottom" textRotation="0" wrapText="0" indent="1" justifyLastLine="0" shrinkToFit="0" readingOrder="0"/>
    </dxf>
  </dxfs>
  <tableStyles count="0" defaultTableStyle="TableStyleMedium2" defaultPivotStyle="PivotStyleLight16"/>
  <colors>
    <mruColors>
      <color rgb="FFFF9933"/>
      <color rgb="FFFFFF99"/>
      <color rgb="FF800000"/>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9524</xdr:rowOff>
    </xdr:from>
    <xdr:to>
      <xdr:col>1</xdr:col>
      <xdr:colOff>28575</xdr:colOff>
      <xdr:row>45</xdr:row>
      <xdr:rowOff>171450</xdr:rowOff>
    </xdr:to>
    <xdr:pic>
      <xdr:nvPicPr>
        <xdr:cNvPr id="2" name="Picture 1">
          <a:extLst>
            <a:ext uri="{FF2B5EF4-FFF2-40B4-BE49-F238E27FC236}">
              <a16:creationId xmlns:a16="http://schemas.microsoft.com/office/drawing/2014/main" id="{03D784A4-64E9-49DF-9DD3-3135937DC9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24524"/>
          <a:ext cx="1981200" cy="762001"/>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MP_MainRM" displayName="RMP_MainRM" ref="A29:D40" totalsRowShown="0" headerRowDxfId="17">
  <autoFilter ref="A29:D40" xr:uid="{00000000-0009-0000-0100-000002000000}"/>
  <tableColumns count="4">
    <tableColumn id="1" xr3:uid="{00000000-0010-0000-0100-000001000000}" name="INGREDIENT" dataDxfId="16"/>
    <tableColumn id="2" xr3:uid="{00000000-0010-0000-0100-000002000000}" name="Dec-21" dataDxfId="15" dataCellStyle="Currency">
      <calculatedColumnFormula>IF(ISNA(VLOOKUP(RMP_MainRM[[#This Row],[INGREDIENT]],RMP_MFH,2,FALSE)),"N/A",VLOOKUP(RMP_MainRM[[#This Row],[INGREDIENT]],RMP_MFH,2,FALSE))</calculatedColumnFormula>
    </tableColumn>
    <tableColumn id="3" xr3:uid="{00000000-0010-0000-0100-000003000000}" name="Nov-21" dataDxfId="14" dataCellStyle="Currency">
      <calculatedColumnFormula>IF(ISNA(VLOOKUP(RMP_MainRM[[#This Row],[INGREDIENT]],RMP_MFH,5,FALSE)),"N/A",VLOOKUP(RMP_MainRM[[#This Row],[INGREDIENT]],RMP_MFH,5,FALSE))</calculatedColumnFormula>
    </tableColumn>
    <tableColumn id="4" xr3:uid="{00000000-0010-0000-0100-000004000000}" name="DIFF" dataDxfId="13" dataCellStyle="Currency">
      <calculatedColumnFormula>RMP_MainRM[[#This Row],[Dec-21]]-RMP_MainRM[[#This Row],[Nov-21]]</calculatedColumnFormula>
    </tableColumn>
  </tableColumns>
  <tableStyleInfo name="TableStyleLight8" showFirstColumn="0"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MFH_Pricing" displayName="MFH_Pricing" ref="A4:L38" totalsRowShown="0" headerRowDxfId="12" dataDxfId="11" dataCellStyle="Currency">
  <autoFilter ref="A4:L38" xr:uid="{00000000-0009-0000-0100-000001000000}"/>
  <tableColumns count="12">
    <tableColumn id="1" xr3:uid="{00000000-0010-0000-0200-000001000000}" name="RM CODE" dataDxfId="10"/>
    <tableColumn id="2" xr3:uid="{00000000-0010-0000-0200-000002000000}" name="INGREDIENT NAME" dataDxfId="9"/>
    <tableColumn id="3" xr3:uid="{00000000-0010-0000-0200-000003000000}" name="PRICING" dataDxfId="8" dataCellStyle="Currency"/>
    <tableColumn id="4" xr3:uid="{00000000-0010-0000-0200-000004000000}" name="Column2" dataDxfId="7" dataCellStyle="Currency"/>
    <tableColumn id="10" xr3:uid="{A4B11588-93B5-4D10-8317-48A54C8BB192}" name="21-Dec" dataDxfId="6" dataCellStyle="Currency"/>
    <tableColumn id="9" xr3:uid="{6B39130A-D3CC-47F9-A62F-7E98E213B986}" name="21-Nov" dataDxfId="5" dataCellStyle="Currency"/>
    <tableColumn id="8" xr3:uid="{7B9A6194-27A0-40B7-A16D-A30A8F526C69}" name="21-Oct" dataDxfId="4" dataCellStyle="Currency"/>
    <tableColumn id="7" xr3:uid="{6F4B24FD-EABC-4EDD-AD27-FF4987AE4C71}" name="21-Sep"/>
    <tableColumn id="6" xr3:uid="{A7A63EFD-DF75-4836-AC8A-7293389C9796}" name="21-Aug" dataDxfId="3" dataCellStyle="Currency"/>
    <tableColumn id="5" xr3:uid="{8063E35A-6A68-4A02-AED2-A7EE6BF16F1C}" name="21-Jul" dataDxfId="2" dataCellStyle="Currency"/>
    <tableColumn id="64" xr3:uid="{729094D6-D316-4E9B-89C9-880C06502D61}" name="21-May" dataDxfId="1" dataCellStyle="Currency"/>
    <tableColumn id="12" xr3:uid="{00000000-0010-0000-0200-00000C000000}" name="Column1" dataDxfId="0" dataCellStyle="Currency"/>
  </tableColumns>
  <tableStyleInfo name="TableStyleLight8" showFirstColumn="0" showLastColumn="0" showRowStripes="0"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70A6D-4948-4CB9-AC90-8172A0B770D3}">
  <dimension ref="A1:X128"/>
  <sheetViews>
    <sheetView topLeftCell="D1" workbookViewId="0">
      <selection activeCell="D1" sqref="D1:D1048576"/>
    </sheetView>
  </sheetViews>
  <sheetFormatPr defaultRowHeight="15.75" x14ac:dyDescent="0.25"/>
  <sheetData>
    <row r="1" spans="1:24" x14ac:dyDescent="0.25">
      <c r="A1" t="s">
        <v>243</v>
      </c>
      <c r="B1" t="s">
        <v>242</v>
      </c>
      <c r="C1" t="s">
        <v>244</v>
      </c>
      <c r="D1" t="s">
        <v>244</v>
      </c>
      <c r="E1" t="s">
        <v>244</v>
      </c>
      <c r="F1" t="s">
        <v>244</v>
      </c>
      <c r="G1" t="s">
        <v>244</v>
      </c>
      <c r="H1" t="s">
        <v>244</v>
      </c>
      <c r="I1" t="s">
        <v>244</v>
      </c>
      <c r="J1" t="s">
        <v>244</v>
      </c>
      <c r="K1" t="s">
        <v>244</v>
      </c>
      <c r="N1" t="s">
        <v>243</v>
      </c>
      <c r="O1" t="s">
        <v>242</v>
      </c>
      <c r="P1" t="s">
        <v>244</v>
      </c>
      <c r="Q1" t="s">
        <v>244</v>
      </c>
      <c r="R1" t="s">
        <v>244</v>
      </c>
      <c r="S1" t="s">
        <v>244</v>
      </c>
      <c r="T1" t="s">
        <v>244</v>
      </c>
      <c r="U1" t="s">
        <v>244</v>
      </c>
      <c r="V1" t="s">
        <v>244</v>
      </c>
      <c r="W1" t="s">
        <v>244</v>
      </c>
      <c r="X1" t="s">
        <v>244</v>
      </c>
    </row>
    <row r="2" spans="1:24" x14ac:dyDescent="0.25">
      <c r="C2" t="s">
        <v>284</v>
      </c>
      <c r="D2" t="s">
        <v>291</v>
      </c>
      <c r="E2" t="s">
        <v>292</v>
      </c>
      <c r="F2" t="s">
        <v>286</v>
      </c>
      <c r="G2" t="s">
        <v>287</v>
      </c>
      <c r="H2" t="s">
        <v>288</v>
      </c>
      <c r="I2" t="s">
        <v>290</v>
      </c>
      <c r="J2" t="s">
        <v>285</v>
      </c>
      <c r="K2" t="s">
        <v>289</v>
      </c>
      <c r="P2" t="s">
        <v>284</v>
      </c>
      <c r="Q2" t="s">
        <v>285</v>
      </c>
      <c r="R2" t="s">
        <v>286</v>
      </c>
      <c r="S2" t="s">
        <v>287</v>
      </c>
      <c r="T2" t="s">
        <v>288</v>
      </c>
      <c r="U2" t="s">
        <v>289</v>
      </c>
      <c r="V2" t="s">
        <v>290</v>
      </c>
      <c r="W2" t="s">
        <v>291</v>
      </c>
      <c r="X2" t="s">
        <v>292</v>
      </c>
    </row>
    <row r="4" spans="1:24" x14ac:dyDescent="0.25">
      <c r="B4" t="s">
        <v>245</v>
      </c>
      <c r="C4">
        <v>0</v>
      </c>
      <c r="D4">
        <v>0</v>
      </c>
      <c r="E4">
        <v>0</v>
      </c>
      <c r="F4">
        <v>0</v>
      </c>
      <c r="G4">
        <v>0</v>
      </c>
      <c r="H4">
        <v>0</v>
      </c>
      <c r="I4">
        <v>0</v>
      </c>
      <c r="J4">
        <v>0</v>
      </c>
      <c r="K4">
        <v>0</v>
      </c>
      <c r="O4" t="s">
        <v>245</v>
      </c>
      <c r="P4">
        <v>0</v>
      </c>
      <c r="Q4">
        <v>0</v>
      </c>
      <c r="R4">
        <v>0</v>
      </c>
      <c r="S4">
        <v>0</v>
      </c>
      <c r="T4">
        <v>0</v>
      </c>
      <c r="U4">
        <v>0</v>
      </c>
      <c r="V4">
        <v>0</v>
      </c>
      <c r="W4">
        <v>0</v>
      </c>
      <c r="X4">
        <v>0</v>
      </c>
    </row>
    <row r="5" spans="1:24" x14ac:dyDescent="0.25">
      <c r="B5" t="s">
        <v>246</v>
      </c>
      <c r="C5">
        <v>461.80599999999998</v>
      </c>
      <c r="D5">
        <v>426.88799999999998</v>
      </c>
      <c r="E5">
        <v>439.15199999999999</v>
      </c>
      <c r="F5">
        <v>631.34500000000003</v>
      </c>
      <c r="G5">
        <v>485.63600000000002</v>
      </c>
      <c r="H5">
        <v>436.22699999999998</v>
      </c>
      <c r="I5">
        <v>411.41199999999998</v>
      </c>
      <c r="J5">
        <v>792.07899999999995</v>
      </c>
      <c r="K5">
        <v>418.137</v>
      </c>
      <c r="O5" t="s">
        <v>246</v>
      </c>
      <c r="P5">
        <v>419.15600000000001</v>
      </c>
      <c r="Q5">
        <v>792.07899999999995</v>
      </c>
      <c r="R5">
        <v>588.92200000000003</v>
      </c>
      <c r="S5">
        <v>446.90699999999998</v>
      </c>
      <c r="T5">
        <v>389.97800000000001</v>
      </c>
      <c r="U5">
        <v>360.32400000000001</v>
      </c>
      <c r="V5">
        <v>329.11900000000003</v>
      </c>
      <c r="W5">
        <v>426.88799999999998</v>
      </c>
      <c r="X5">
        <v>439.15199999999999</v>
      </c>
    </row>
    <row r="6" spans="1:24" x14ac:dyDescent="0.25">
      <c r="B6" t="s">
        <v>247</v>
      </c>
      <c r="C6">
        <v>-461.61500000000001</v>
      </c>
      <c r="D6">
        <v>-426.976</v>
      </c>
      <c r="E6">
        <v>-439.12099999999998</v>
      </c>
      <c r="F6">
        <v>-631.33900000000006</v>
      </c>
      <c r="G6">
        <v>-485.26</v>
      </c>
      <c r="H6">
        <v>-436.101</v>
      </c>
      <c r="I6">
        <v>-411.54700000000003</v>
      </c>
      <c r="J6">
        <v>-791.34100000000001</v>
      </c>
      <c r="K6">
        <v>-418.416</v>
      </c>
      <c r="O6" t="s">
        <v>247</v>
      </c>
      <c r="P6">
        <v>-419.17599999999999</v>
      </c>
      <c r="Q6">
        <v>-791.34100000000001</v>
      </c>
      <c r="R6">
        <v>-588.94200000000001</v>
      </c>
      <c r="S6">
        <v>-446.68200000000002</v>
      </c>
      <c r="T6">
        <v>-390.04700000000003</v>
      </c>
      <c r="U6">
        <v>-360.48700000000002</v>
      </c>
      <c r="V6">
        <v>-329.18200000000002</v>
      </c>
      <c r="W6">
        <v>-426.976</v>
      </c>
      <c r="X6">
        <v>-439.12099999999998</v>
      </c>
    </row>
    <row r="7" spans="1:24" x14ac:dyDescent="0.25">
      <c r="B7" t="s">
        <v>248</v>
      </c>
      <c r="C7">
        <v>0</v>
      </c>
      <c r="D7">
        <v>0</v>
      </c>
      <c r="E7">
        <v>0</v>
      </c>
      <c r="F7">
        <v>0</v>
      </c>
      <c r="G7">
        <v>0</v>
      </c>
      <c r="H7">
        <v>0</v>
      </c>
      <c r="I7">
        <v>0</v>
      </c>
      <c r="J7">
        <v>0</v>
      </c>
      <c r="K7">
        <v>0</v>
      </c>
      <c r="O7" t="s">
        <v>248</v>
      </c>
      <c r="P7">
        <v>0</v>
      </c>
      <c r="Q7">
        <v>0</v>
      </c>
      <c r="R7">
        <v>0</v>
      </c>
      <c r="S7">
        <v>0</v>
      </c>
      <c r="T7">
        <v>0</v>
      </c>
      <c r="U7">
        <v>0</v>
      </c>
      <c r="V7">
        <v>0</v>
      </c>
      <c r="W7">
        <v>0</v>
      </c>
      <c r="X7">
        <v>0</v>
      </c>
    </row>
    <row r="9" spans="1:24" x14ac:dyDescent="0.25">
      <c r="A9">
        <v>10020</v>
      </c>
      <c r="B9" t="s">
        <v>17</v>
      </c>
      <c r="C9">
        <v>0</v>
      </c>
      <c r="D9">
        <v>0</v>
      </c>
      <c r="E9">
        <v>0</v>
      </c>
      <c r="F9">
        <v>5</v>
      </c>
      <c r="G9">
        <v>0</v>
      </c>
      <c r="H9">
        <v>0</v>
      </c>
      <c r="I9">
        <v>0</v>
      </c>
      <c r="J9">
        <v>10</v>
      </c>
      <c r="K9">
        <v>0</v>
      </c>
      <c r="N9">
        <v>10020</v>
      </c>
      <c r="O9" t="s">
        <v>17</v>
      </c>
      <c r="P9">
        <v>0</v>
      </c>
      <c r="Q9">
        <v>10</v>
      </c>
      <c r="R9">
        <v>5</v>
      </c>
      <c r="S9">
        <v>0</v>
      </c>
      <c r="T9">
        <v>0</v>
      </c>
      <c r="U9">
        <v>0</v>
      </c>
      <c r="V9">
        <v>0</v>
      </c>
      <c r="W9">
        <v>0</v>
      </c>
      <c r="X9">
        <v>0</v>
      </c>
    </row>
    <row r="10" spans="1:24" x14ac:dyDescent="0.25">
      <c r="A10">
        <v>11132</v>
      </c>
      <c r="B10" t="s">
        <v>16</v>
      </c>
      <c r="C10">
        <v>55.614069999999998</v>
      </c>
      <c r="D10">
        <v>46.305073999999998</v>
      </c>
      <c r="E10">
        <v>51.867570000000001</v>
      </c>
      <c r="F10">
        <v>11.9</v>
      </c>
      <c r="G10">
        <v>42.08</v>
      </c>
      <c r="H10">
        <v>50.005000000000003</v>
      </c>
      <c r="I10">
        <v>62.808616999999998</v>
      </c>
      <c r="J10">
        <v>0</v>
      </c>
      <c r="K10">
        <v>54.83</v>
      </c>
      <c r="N10">
        <v>11132</v>
      </c>
      <c r="O10" t="s">
        <v>16</v>
      </c>
      <c r="P10">
        <v>55.614069999999998</v>
      </c>
      <c r="Q10">
        <v>0</v>
      </c>
      <c r="R10">
        <v>11.9</v>
      </c>
      <c r="S10">
        <v>42.08</v>
      </c>
      <c r="T10">
        <v>50.005000000000003</v>
      </c>
      <c r="U10">
        <v>54.83</v>
      </c>
      <c r="V10">
        <v>62.808616999999998</v>
      </c>
      <c r="W10">
        <v>46.305073999999998</v>
      </c>
      <c r="X10">
        <v>51.867570000000001</v>
      </c>
    </row>
    <row r="11" spans="1:24" x14ac:dyDescent="0.25">
      <c r="A11">
        <v>14320</v>
      </c>
      <c r="B11" t="s">
        <v>269</v>
      </c>
      <c r="C11">
        <v>10</v>
      </c>
      <c r="D11">
        <v>0</v>
      </c>
      <c r="E11">
        <v>0</v>
      </c>
      <c r="F11">
        <v>30.008116999999999</v>
      </c>
      <c r="G11">
        <v>15</v>
      </c>
      <c r="H11">
        <v>0</v>
      </c>
      <c r="I11">
        <v>0</v>
      </c>
      <c r="J11">
        <v>31.696176999999999</v>
      </c>
      <c r="K11">
        <v>0</v>
      </c>
      <c r="N11">
        <v>14320</v>
      </c>
      <c r="O11" t="s">
        <v>269</v>
      </c>
      <c r="P11">
        <v>10</v>
      </c>
      <c r="Q11">
        <v>31.696176999999999</v>
      </c>
      <c r="R11">
        <v>30.008116999999999</v>
      </c>
      <c r="S11">
        <v>15</v>
      </c>
      <c r="T11">
        <v>0</v>
      </c>
      <c r="U11">
        <v>0</v>
      </c>
      <c r="V11">
        <v>0</v>
      </c>
      <c r="W11">
        <v>0</v>
      </c>
      <c r="X11">
        <v>0</v>
      </c>
    </row>
    <row r="12" spans="1:24" x14ac:dyDescent="0.25">
      <c r="A12">
        <v>20550</v>
      </c>
      <c r="B12" t="s">
        <v>109</v>
      </c>
      <c r="C12">
        <v>10</v>
      </c>
      <c r="D12">
        <v>10</v>
      </c>
      <c r="E12">
        <v>10</v>
      </c>
      <c r="F12">
        <v>15</v>
      </c>
      <c r="G12">
        <v>15</v>
      </c>
      <c r="H12">
        <v>20</v>
      </c>
      <c r="I12">
        <v>15</v>
      </c>
      <c r="J12">
        <v>5</v>
      </c>
      <c r="K12">
        <v>20</v>
      </c>
      <c r="N12">
        <v>20550</v>
      </c>
      <c r="O12" t="s">
        <v>109</v>
      </c>
      <c r="P12">
        <v>10</v>
      </c>
      <c r="Q12">
        <v>5</v>
      </c>
      <c r="R12">
        <v>15</v>
      </c>
      <c r="S12">
        <v>15</v>
      </c>
      <c r="T12">
        <v>20</v>
      </c>
      <c r="U12">
        <v>20</v>
      </c>
      <c r="V12">
        <v>15</v>
      </c>
      <c r="W12">
        <v>10</v>
      </c>
      <c r="X12">
        <v>10</v>
      </c>
    </row>
    <row r="13" spans="1:24" x14ac:dyDescent="0.25">
      <c r="A13">
        <v>22964</v>
      </c>
      <c r="B13" t="s">
        <v>270</v>
      </c>
      <c r="C13">
        <v>0</v>
      </c>
      <c r="D13">
        <v>35</v>
      </c>
      <c r="E13">
        <v>24.4</v>
      </c>
      <c r="F13">
        <v>0</v>
      </c>
      <c r="G13">
        <v>0</v>
      </c>
      <c r="H13">
        <v>0</v>
      </c>
      <c r="I13">
        <v>0</v>
      </c>
      <c r="J13">
        <v>0</v>
      </c>
      <c r="K13">
        <v>0</v>
      </c>
      <c r="N13">
        <v>22964</v>
      </c>
      <c r="O13" t="s">
        <v>270</v>
      </c>
      <c r="P13">
        <v>0</v>
      </c>
      <c r="Q13">
        <v>0</v>
      </c>
      <c r="R13">
        <v>0</v>
      </c>
      <c r="S13">
        <v>0</v>
      </c>
      <c r="T13">
        <v>0</v>
      </c>
      <c r="U13">
        <v>0</v>
      </c>
      <c r="V13">
        <v>0</v>
      </c>
      <c r="W13">
        <v>35</v>
      </c>
      <c r="X13">
        <v>24.4</v>
      </c>
    </row>
    <row r="14" spans="1:24" x14ac:dyDescent="0.25">
      <c r="A14">
        <v>40004</v>
      </c>
      <c r="B14" t="s">
        <v>15</v>
      </c>
      <c r="C14">
        <v>0</v>
      </c>
      <c r="D14">
        <v>0</v>
      </c>
      <c r="E14">
        <v>0</v>
      </c>
      <c r="F14">
        <v>0</v>
      </c>
      <c r="G14">
        <v>0</v>
      </c>
      <c r="H14">
        <v>0</v>
      </c>
      <c r="I14">
        <v>0</v>
      </c>
      <c r="J14">
        <v>5</v>
      </c>
      <c r="K14">
        <v>0</v>
      </c>
      <c r="N14">
        <v>40004</v>
      </c>
      <c r="O14" t="s">
        <v>15</v>
      </c>
      <c r="P14">
        <v>0</v>
      </c>
      <c r="Q14">
        <v>5</v>
      </c>
      <c r="R14">
        <v>0</v>
      </c>
      <c r="S14">
        <v>0</v>
      </c>
      <c r="T14">
        <v>0</v>
      </c>
      <c r="U14">
        <v>0</v>
      </c>
      <c r="V14">
        <v>0</v>
      </c>
      <c r="W14">
        <v>0</v>
      </c>
      <c r="X14">
        <v>0</v>
      </c>
    </row>
    <row r="15" spans="1:24" x14ac:dyDescent="0.25">
      <c r="A15">
        <v>40060</v>
      </c>
      <c r="B15" t="s">
        <v>112</v>
      </c>
      <c r="C15">
        <v>5</v>
      </c>
      <c r="D15">
        <v>5</v>
      </c>
      <c r="E15">
        <v>5</v>
      </c>
      <c r="F15">
        <v>0</v>
      </c>
      <c r="G15">
        <v>0</v>
      </c>
      <c r="H15">
        <v>15.9</v>
      </c>
      <c r="I15">
        <v>20</v>
      </c>
      <c r="J15">
        <v>0</v>
      </c>
      <c r="K15">
        <v>20</v>
      </c>
      <c r="N15">
        <v>40060</v>
      </c>
      <c r="O15" t="s">
        <v>112</v>
      </c>
      <c r="P15">
        <v>5</v>
      </c>
      <c r="Q15">
        <v>0</v>
      </c>
      <c r="R15">
        <v>0</v>
      </c>
      <c r="S15">
        <v>0.1</v>
      </c>
      <c r="T15">
        <v>15.9</v>
      </c>
      <c r="U15">
        <v>20</v>
      </c>
      <c r="V15">
        <v>20</v>
      </c>
      <c r="W15">
        <v>5</v>
      </c>
      <c r="X15">
        <v>5</v>
      </c>
    </row>
    <row r="16" spans="1:24" x14ac:dyDescent="0.25">
      <c r="A16">
        <v>42120</v>
      </c>
      <c r="B16" t="s">
        <v>272</v>
      </c>
      <c r="C16">
        <v>14.7</v>
      </c>
      <c r="D16">
        <v>0</v>
      </c>
      <c r="E16">
        <v>5.5</v>
      </c>
      <c r="F16">
        <v>22.8</v>
      </c>
      <c r="G16">
        <f>0.1+24</f>
        <v>24.1</v>
      </c>
      <c r="H16">
        <v>11.6</v>
      </c>
      <c r="I16">
        <v>0</v>
      </c>
      <c r="J16">
        <v>15</v>
      </c>
      <c r="K16">
        <v>2.9</v>
      </c>
      <c r="N16">
        <v>42120</v>
      </c>
      <c r="O16" t="s">
        <v>272</v>
      </c>
      <c r="P16">
        <v>14.7</v>
      </c>
      <c r="Q16">
        <v>15</v>
      </c>
      <c r="R16">
        <v>22.8</v>
      </c>
      <c r="S16">
        <v>24</v>
      </c>
      <c r="T16">
        <v>11.6</v>
      </c>
      <c r="U16">
        <v>2.9</v>
      </c>
      <c r="V16">
        <v>0</v>
      </c>
      <c r="W16">
        <v>0</v>
      </c>
      <c r="X16">
        <v>5.5</v>
      </c>
    </row>
    <row r="17" spans="1:24" x14ac:dyDescent="0.25">
      <c r="A17">
        <v>42205</v>
      </c>
      <c r="B17" t="s">
        <v>114</v>
      </c>
      <c r="C17">
        <v>0</v>
      </c>
      <c r="D17">
        <v>0</v>
      </c>
      <c r="E17">
        <v>0</v>
      </c>
      <c r="F17">
        <v>2.5</v>
      </c>
      <c r="G17">
        <v>0</v>
      </c>
      <c r="H17">
        <v>0</v>
      </c>
      <c r="I17">
        <v>0</v>
      </c>
      <c r="J17">
        <v>12.4</v>
      </c>
      <c r="K17">
        <v>0</v>
      </c>
      <c r="N17">
        <v>42205</v>
      </c>
      <c r="O17" t="s">
        <v>114</v>
      </c>
      <c r="P17">
        <v>0</v>
      </c>
      <c r="Q17">
        <v>12.4</v>
      </c>
      <c r="R17">
        <v>2.5</v>
      </c>
      <c r="S17">
        <v>0</v>
      </c>
      <c r="T17">
        <v>0</v>
      </c>
      <c r="U17">
        <v>0</v>
      </c>
      <c r="V17">
        <v>0</v>
      </c>
      <c r="W17">
        <v>0</v>
      </c>
      <c r="X17">
        <v>0</v>
      </c>
    </row>
    <row r="18" spans="1:24" x14ac:dyDescent="0.25">
      <c r="A18">
        <v>51860</v>
      </c>
      <c r="B18" t="s">
        <v>115</v>
      </c>
      <c r="C18">
        <v>0</v>
      </c>
      <c r="D18">
        <v>0</v>
      </c>
      <c r="E18">
        <v>0</v>
      </c>
      <c r="F18">
        <v>7.5</v>
      </c>
      <c r="G18">
        <v>0</v>
      </c>
      <c r="H18">
        <v>0</v>
      </c>
      <c r="I18">
        <v>0</v>
      </c>
      <c r="J18">
        <v>15</v>
      </c>
      <c r="K18">
        <v>0</v>
      </c>
      <c r="N18">
        <v>51860</v>
      </c>
      <c r="O18" t="s">
        <v>115</v>
      </c>
      <c r="P18">
        <v>0</v>
      </c>
      <c r="Q18">
        <v>15</v>
      </c>
      <c r="R18">
        <v>7.5</v>
      </c>
      <c r="S18">
        <v>0</v>
      </c>
      <c r="T18">
        <v>0</v>
      </c>
      <c r="U18">
        <v>0</v>
      </c>
      <c r="V18">
        <v>0</v>
      </c>
      <c r="W18">
        <v>0</v>
      </c>
      <c r="X18">
        <v>0</v>
      </c>
    </row>
    <row r="19" spans="1:24" x14ac:dyDescent="0.25">
      <c r="A19">
        <v>60080</v>
      </c>
      <c r="B19" t="s">
        <v>273</v>
      </c>
      <c r="C19">
        <v>1.55</v>
      </c>
      <c r="D19">
        <v>1.65</v>
      </c>
      <c r="E19">
        <v>1.3</v>
      </c>
      <c r="F19">
        <v>0.9</v>
      </c>
      <c r="G19">
        <v>1.1499999999999999</v>
      </c>
      <c r="H19">
        <v>1</v>
      </c>
      <c r="I19">
        <v>0.95</v>
      </c>
      <c r="J19">
        <v>0.9</v>
      </c>
      <c r="K19">
        <v>1</v>
      </c>
      <c r="N19">
        <v>60080</v>
      </c>
      <c r="O19" t="s">
        <v>273</v>
      </c>
      <c r="P19">
        <v>1.55</v>
      </c>
      <c r="Q19">
        <v>0.9</v>
      </c>
      <c r="R19">
        <v>0.9</v>
      </c>
      <c r="S19">
        <v>1.1499999999999999</v>
      </c>
      <c r="T19">
        <v>1</v>
      </c>
      <c r="U19">
        <v>1</v>
      </c>
      <c r="V19">
        <v>0.95</v>
      </c>
      <c r="W19">
        <v>1.65</v>
      </c>
      <c r="X19">
        <v>1.3</v>
      </c>
    </row>
    <row r="20" spans="1:24" x14ac:dyDescent="0.25">
      <c r="A20">
        <v>60220</v>
      </c>
      <c r="B20" t="s">
        <v>274</v>
      </c>
      <c r="C20">
        <v>0.9</v>
      </c>
      <c r="D20">
        <v>0.65</v>
      </c>
      <c r="E20">
        <v>0.5</v>
      </c>
      <c r="F20">
        <v>0.65</v>
      </c>
      <c r="G20">
        <v>0.6</v>
      </c>
      <c r="H20">
        <v>0.1</v>
      </c>
      <c r="I20">
        <v>0</v>
      </c>
      <c r="J20">
        <v>0.5</v>
      </c>
      <c r="K20">
        <v>0</v>
      </c>
      <c r="N20">
        <v>60220</v>
      </c>
      <c r="O20" t="s">
        <v>274</v>
      </c>
      <c r="P20">
        <v>0.9</v>
      </c>
      <c r="Q20">
        <v>0.5</v>
      </c>
      <c r="R20">
        <v>0.65</v>
      </c>
      <c r="S20">
        <v>0.6</v>
      </c>
      <c r="T20">
        <v>0.1</v>
      </c>
      <c r="U20">
        <v>0</v>
      </c>
      <c r="V20">
        <v>0</v>
      </c>
      <c r="W20">
        <v>0.65</v>
      </c>
      <c r="X20">
        <v>0.5</v>
      </c>
    </row>
    <row r="21" spans="1:24" x14ac:dyDescent="0.25">
      <c r="A21">
        <v>60700</v>
      </c>
      <c r="B21" t="s">
        <v>275</v>
      </c>
      <c r="C21">
        <v>0.45</v>
      </c>
      <c r="D21">
        <v>0.5</v>
      </c>
      <c r="E21">
        <v>0.5</v>
      </c>
      <c r="F21">
        <v>0.45</v>
      </c>
      <c r="G21">
        <v>0.5</v>
      </c>
      <c r="H21">
        <v>0.4</v>
      </c>
      <c r="I21">
        <v>0.45</v>
      </c>
      <c r="J21">
        <v>0.35</v>
      </c>
      <c r="K21">
        <v>0.4</v>
      </c>
      <c r="N21">
        <v>60700</v>
      </c>
      <c r="O21" t="s">
        <v>275</v>
      </c>
      <c r="P21">
        <v>0.45</v>
      </c>
      <c r="Q21">
        <v>0.35</v>
      </c>
      <c r="R21">
        <v>0.45</v>
      </c>
      <c r="S21">
        <v>0.5</v>
      </c>
      <c r="T21">
        <v>0.4</v>
      </c>
      <c r="U21">
        <v>0.4</v>
      </c>
      <c r="V21">
        <v>0.45</v>
      </c>
      <c r="W21">
        <v>0.5</v>
      </c>
      <c r="X21">
        <v>0.5</v>
      </c>
    </row>
    <row r="22" spans="1:24" x14ac:dyDescent="0.25">
      <c r="A22">
        <v>61800</v>
      </c>
      <c r="B22" t="s">
        <v>116</v>
      </c>
      <c r="C22">
        <v>0</v>
      </c>
      <c r="D22">
        <v>0</v>
      </c>
      <c r="E22">
        <v>0.04</v>
      </c>
      <c r="F22">
        <v>0.04</v>
      </c>
      <c r="G22">
        <v>0.04</v>
      </c>
      <c r="H22">
        <v>0.04</v>
      </c>
      <c r="I22">
        <v>0</v>
      </c>
      <c r="J22">
        <v>0.04</v>
      </c>
      <c r="K22">
        <v>0.04</v>
      </c>
      <c r="N22">
        <v>61800</v>
      </c>
      <c r="O22" t="s">
        <v>116</v>
      </c>
      <c r="P22">
        <v>0</v>
      </c>
      <c r="Q22">
        <v>0.04</v>
      </c>
      <c r="R22">
        <v>0.04</v>
      </c>
      <c r="S22">
        <v>0.04</v>
      </c>
      <c r="T22">
        <v>0.04</v>
      </c>
      <c r="U22">
        <v>0.04</v>
      </c>
      <c r="V22">
        <v>0</v>
      </c>
      <c r="W22">
        <v>0</v>
      </c>
      <c r="X22">
        <v>0.04</v>
      </c>
    </row>
    <row r="23" spans="1:24" x14ac:dyDescent="0.25">
      <c r="A23">
        <v>62325</v>
      </c>
      <c r="B23" t="s">
        <v>117</v>
      </c>
      <c r="C23">
        <v>0</v>
      </c>
      <c r="D23">
        <v>0</v>
      </c>
      <c r="E23">
        <v>0</v>
      </c>
      <c r="F23">
        <v>0.3</v>
      </c>
      <c r="G23">
        <v>0</v>
      </c>
      <c r="H23">
        <v>0</v>
      </c>
      <c r="I23">
        <v>0</v>
      </c>
      <c r="J23">
        <v>0.3</v>
      </c>
      <c r="K23">
        <v>0</v>
      </c>
      <c r="N23">
        <v>62325</v>
      </c>
      <c r="O23" t="s">
        <v>117</v>
      </c>
      <c r="P23">
        <v>0</v>
      </c>
      <c r="Q23">
        <v>0.3</v>
      </c>
      <c r="R23">
        <v>0.3</v>
      </c>
      <c r="S23">
        <v>0</v>
      </c>
      <c r="T23">
        <v>0</v>
      </c>
      <c r="U23">
        <v>0</v>
      </c>
      <c r="V23">
        <v>0</v>
      </c>
      <c r="W23">
        <v>0</v>
      </c>
      <c r="X23">
        <v>0</v>
      </c>
    </row>
    <row r="24" spans="1:24" x14ac:dyDescent="0.25">
      <c r="A24">
        <v>64680</v>
      </c>
      <c r="B24" t="s">
        <v>12</v>
      </c>
      <c r="C24">
        <v>0.1</v>
      </c>
      <c r="D24">
        <v>0.1</v>
      </c>
      <c r="E24">
        <v>0.05</v>
      </c>
      <c r="F24">
        <v>0.08</v>
      </c>
      <c r="G24">
        <v>0</v>
      </c>
      <c r="H24">
        <v>0</v>
      </c>
      <c r="I24">
        <v>0</v>
      </c>
      <c r="J24">
        <v>0.08</v>
      </c>
      <c r="K24">
        <v>0</v>
      </c>
      <c r="N24">
        <v>64680</v>
      </c>
      <c r="O24" t="s">
        <v>12</v>
      </c>
      <c r="P24">
        <v>0.1</v>
      </c>
      <c r="Q24">
        <v>0.08</v>
      </c>
      <c r="R24">
        <v>0.08</v>
      </c>
      <c r="S24">
        <v>0</v>
      </c>
      <c r="T24">
        <v>0</v>
      </c>
      <c r="U24">
        <v>0</v>
      </c>
      <c r="V24">
        <v>0</v>
      </c>
      <c r="W24">
        <v>0.1</v>
      </c>
      <c r="X24">
        <v>0.05</v>
      </c>
    </row>
    <row r="25" spans="1:24" x14ac:dyDescent="0.25">
      <c r="A25">
        <v>66069</v>
      </c>
      <c r="B25" t="s">
        <v>277</v>
      </c>
      <c r="C25">
        <v>0.46593000000000001</v>
      </c>
      <c r="D25">
        <v>0.28492600000000001</v>
      </c>
      <c r="E25">
        <v>0.37242999999999998</v>
      </c>
      <c r="F25">
        <v>0.64999200000000001</v>
      </c>
      <c r="G25">
        <v>0.7</v>
      </c>
      <c r="H25">
        <v>0.5</v>
      </c>
      <c r="I25">
        <v>0.38138300000000003</v>
      </c>
      <c r="J25">
        <v>0.53882300000000005</v>
      </c>
      <c r="K25">
        <v>0.42</v>
      </c>
      <c r="N25">
        <v>66069</v>
      </c>
      <c r="O25" t="s">
        <v>277</v>
      </c>
      <c r="P25">
        <v>0.46593000000000001</v>
      </c>
      <c r="Q25">
        <v>0.53882300000000005</v>
      </c>
      <c r="R25">
        <v>0.64999200000000001</v>
      </c>
      <c r="S25">
        <v>0.7</v>
      </c>
      <c r="T25">
        <v>0.5</v>
      </c>
      <c r="U25">
        <v>0.42</v>
      </c>
      <c r="V25">
        <v>0.38138300000000003</v>
      </c>
      <c r="W25">
        <v>0.28492600000000001</v>
      </c>
      <c r="X25">
        <v>0.37242999999999998</v>
      </c>
    </row>
    <row r="26" spans="1:24" x14ac:dyDescent="0.25">
      <c r="A26">
        <v>66100</v>
      </c>
      <c r="B26" t="s">
        <v>13</v>
      </c>
      <c r="C26">
        <v>0</v>
      </c>
      <c r="D26">
        <v>0</v>
      </c>
      <c r="E26">
        <v>0</v>
      </c>
      <c r="F26">
        <v>0.13</v>
      </c>
      <c r="G26">
        <v>0.13500000000000001</v>
      </c>
      <c r="H26">
        <v>0</v>
      </c>
      <c r="I26">
        <v>0</v>
      </c>
      <c r="J26">
        <v>0.18</v>
      </c>
      <c r="K26">
        <v>0</v>
      </c>
      <c r="N26">
        <v>66100</v>
      </c>
      <c r="O26" t="s">
        <v>13</v>
      </c>
      <c r="P26">
        <v>0</v>
      </c>
      <c r="Q26">
        <v>0.18</v>
      </c>
      <c r="R26">
        <v>0.13</v>
      </c>
      <c r="S26">
        <v>0.13500000000000001</v>
      </c>
      <c r="T26">
        <v>0</v>
      </c>
      <c r="U26">
        <v>0</v>
      </c>
      <c r="V26">
        <v>0</v>
      </c>
      <c r="W26">
        <v>0</v>
      </c>
      <c r="X26">
        <v>0</v>
      </c>
    </row>
    <row r="27" spans="1:24" x14ac:dyDescent="0.25">
      <c r="A27">
        <v>66200</v>
      </c>
      <c r="B27" t="s">
        <v>14</v>
      </c>
      <c r="C27">
        <v>0</v>
      </c>
      <c r="D27">
        <v>0</v>
      </c>
      <c r="E27">
        <v>0</v>
      </c>
      <c r="F27">
        <v>3.5000000000000003E-2</v>
      </c>
      <c r="G27">
        <v>3.5000000000000003E-2</v>
      </c>
      <c r="H27">
        <v>1.4999999999999999E-2</v>
      </c>
      <c r="I27">
        <v>0.01</v>
      </c>
      <c r="J27">
        <v>2.5000000000000001E-2</v>
      </c>
      <c r="K27">
        <v>0.01</v>
      </c>
      <c r="N27">
        <v>66200</v>
      </c>
      <c r="O27" t="s">
        <v>14</v>
      </c>
      <c r="P27">
        <v>0</v>
      </c>
      <c r="Q27">
        <v>2.5000000000000001E-2</v>
      </c>
      <c r="R27">
        <v>3.5000000000000003E-2</v>
      </c>
      <c r="S27">
        <v>3.5000000000000003E-2</v>
      </c>
      <c r="T27">
        <v>1.4999999999999999E-2</v>
      </c>
      <c r="U27">
        <v>0.01</v>
      </c>
      <c r="V27">
        <v>0.01</v>
      </c>
      <c r="W27">
        <v>0</v>
      </c>
      <c r="X27">
        <v>0</v>
      </c>
    </row>
    <row r="28" spans="1:24" x14ac:dyDescent="0.25">
      <c r="A28">
        <v>66300</v>
      </c>
      <c r="B28" t="s">
        <v>11</v>
      </c>
      <c r="C28">
        <v>7.0000000000000007E-2</v>
      </c>
      <c r="D28">
        <v>0.06</v>
      </c>
      <c r="E28">
        <v>0.02</v>
      </c>
      <c r="F28">
        <v>0.16</v>
      </c>
      <c r="G28">
        <v>0.13</v>
      </c>
      <c r="H28">
        <v>0.04</v>
      </c>
      <c r="I28">
        <v>0</v>
      </c>
      <c r="J28">
        <v>0.16</v>
      </c>
      <c r="K28">
        <v>0</v>
      </c>
      <c r="N28">
        <v>66300</v>
      </c>
      <c r="O28" t="s">
        <v>11</v>
      </c>
      <c r="P28">
        <v>7.0000000000000007E-2</v>
      </c>
      <c r="Q28">
        <v>0.16</v>
      </c>
      <c r="R28">
        <v>0.16</v>
      </c>
      <c r="S28">
        <v>0.13</v>
      </c>
      <c r="T28">
        <v>0.04</v>
      </c>
      <c r="U28">
        <v>0</v>
      </c>
      <c r="V28">
        <v>0</v>
      </c>
      <c r="W28">
        <v>0.06</v>
      </c>
      <c r="X28">
        <v>0.02</v>
      </c>
    </row>
    <row r="29" spans="1:24" x14ac:dyDescent="0.25">
      <c r="A29">
        <v>91000</v>
      </c>
      <c r="B29" t="s">
        <v>278</v>
      </c>
      <c r="C29">
        <v>1</v>
      </c>
      <c r="D29">
        <v>0.3</v>
      </c>
      <c r="E29">
        <v>0.3</v>
      </c>
      <c r="F29">
        <v>1.366892</v>
      </c>
      <c r="G29">
        <v>0.3</v>
      </c>
      <c r="H29">
        <v>0.3</v>
      </c>
      <c r="I29">
        <v>0.3</v>
      </c>
      <c r="J29">
        <v>2</v>
      </c>
      <c r="K29">
        <v>0.3</v>
      </c>
      <c r="N29">
        <v>91000</v>
      </c>
      <c r="O29" t="s">
        <v>278</v>
      </c>
      <c r="P29">
        <v>1</v>
      </c>
      <c r="Q29">
        <v>2</v>
      </c>
      <c r="R29">
        <v>1.366892</v>
      </c>
      <c r="S29">
        <v>0.3</v>
      </c>
      <c r="T29">
        <v>0.3</v>
      </c>
      <c r="U29">
        <v>0.3</v>
      </c>
      <c r="V29">
        <v>0.3</v>
      </c>
      <c r="W29">
        <v>0.3</v>
      </c>
      <c r="X29">
        <v>0.3</v>
      </c>
    </row>
    <row r="30" spans="1:24" x14ac:dyDescent="0.25">
      <c r="A30">
        <v>94179</v>
      </c>
      <c r="B30" t="s">
        <v>279</v>
      </c>
      <c r="C30">
        <v>0</v>
      </c>
      <c r="D30">
        <v>0</v>
      </c>
      <c r="E30">
        <v>0</v>
      </c>
      <c r="F30">
        <v>0.03</v>
      </c>
      <c r="G30">
        <v>0.03</v>
      </c>
      <c r="H30">
        <v>0</v>
      </c>
      <c r="I30">
        <v>0</v>
      </c>
      <c r="J30">
        <v>0.03</v>
      </c>
      <c r="K30">
        <v>0</v>
      </c>
      <c r="N30">
        <v>94179</v>
      </c>
      <c r="O30" t="s">
        <v>279</v>
      </c>
      <c r="P30">
        <v>0</v>
      </c>
      <c r="Q30">
        <v>0.03</v>
      </c>
      <c r="R30">
        <v>0.03</v>
      </c>
      <c r="S30">
        <v>0.03</v>
      </c>
      <c r="T30">
        <v>0</v>
      </c>
      <c r="U30">
        <v>0</v>
      </c>
      <c r="V30">
        <v>0</v>
      </c>
      <c r="W30">
        <v>0</v>
      </c>
      <c r="X30">
        <v>0</v>
      </c>
    </row>
    <row r="31" spans="1:24" x14ac:dyDescent="0.25">
      <c r="A31">
        <v>94732</v>
      </c>
      <c r="B31" t="s">
        <v>280</v>
      </c>
      <c r="C31">
        <v>0</v>
      </c>
      <c r="D31">
        <v>0</v>
      </c>
      <c r="E31">
        <v>0</v>
      </c>
      <c r="F31">
        <v>0.25</v>
      </c>
      <c r="G31">
        <v>0</v>
      </c>
      <c r="H31">
        <v>0</v>
      </c>
      <c r="I31">
        <v>0</v>
      </c>
      <c r="J31">
        <v>0.5</v>
      </c>
      <c r="K31">
        <v>0</v>
      </c>
      <c r="N31">
        <v>94732</v>
      </c>
      <c r="O31" t="s">
        <v>280</v>
      </c>
      <c r="P31">
        <v>0</v>
      </c>
      <c r="Q31">
        <v>0.5</v>
      </c>
      <c r="R31">
        <v>0.25</v>
      </c>
      <c r="S31">
        <v>0</v>
      </c>
      <c r="T31">
        <v>0</v>
      </c>
      <c r="U31">
        <v>0</v>
      </c>
      <c r="V31">
        <v>0</v>
      </c>
      <c r="W31">
        <v>0</v>
      </c>
      <c r="X31">
        <v>0</v>
      </c>
    </row>
    <row r="32" spans="1:24" x14ac:dyDescent="0.25">
      <c r="A32">
        <v>94910</v>
      </c>
      <c r="B32" t="s">
        <v>249</v>
      </c>
      <c r="C32">
        <v>0</v>
      </c>
      <c r="D32">
        <v>0</v>
      </c>
      <c r="E32">
        <v>0</v>
      </c>
      <c r="F32">
        <v>0.05</v>
      </c>
      <c r="G32">
        <v>0</v>
      </c>
      <c r="H32">
        <v>0</v>
      </c>
      <c r="I32">
        <v>0</v>
      </c>
      <c r="J32">
        <v>0.1</v>
      </c>
      <c r="K32">
        <v>0</v>
      </c>
      <c r="N32">
        <v>94910</v>
      </c>
      <c r="O32" t="s">
        <v>249</v>
      </c>
      <c r="P32">
        <v>0</v>
      </c>
      <c r="Q32">
        <v>0.1</v>
      </c>
      <c r="R32">
        <v>0.05</v>
      </c>
      <c r="S32">
        <v>0</v>
      </c>
      <c r="T32">
        <v>0</v>
      </c>
      <c r="U32">
        <v>0</v>
      </c>
      <c r="V32">
        <v>0</v>
      </c>
      <c r="W32">
        <v>0</v>
      </c>
      <c r="X32">
        <v>0</v>
      </c>
    </row>
    <row r="33" spans="1:24" x14ac:dyDescent="0.25">
      <c r="A33">
        <v>922556</v>
      </c>
      <c r="B33" t="s">
        <v>281</v>
      </c>
      <c r="C33">
        <v>0</v>
      </c>
      <c r="D33">
        <v>0</v>
      </c>
      <c r="E33">
        <v>0</v>
      </c>
      <c r="F33">
        <v>0</v>
      </c>
      <c r="G33">
        <v>0</v>
      </c>
      <c r="H33">
        <v>0.1</v>
      </c>
      <c r="I33">
        <v>0.1</v>
      </c>
      <c r="J33">
        <v>0</v>
      </c>
      <c r="K33">
        <v>0.1</v>
      </c>
      <c r="N33">
        <v>922556</v>
      </c>
      <c r="O33" t="s">
        <v>281</v>
      </c>
      <c r="P33">
        <v>0</v>
      </c>
      <c r="Q33">
        <v>0</v>
      </c>
      <c r="R33">
        <v>0</v>
      </c>
      <c r="S33">
        <v>0</v>
      </c>
      <c r="T33">
        <v>0.1</v>
      </c>
      <c r="U33">
        <v>0.1</v>
      </c>
      <c r="V33">
        <v>0.1</v>
      </c>
      <c r="W33">
        <v>0</v>
      </c>
      <c r="X33">
        <v>0</v>
      </c>
    </row>
    <row r="34" spans="1:24" x14ac:dyDescent="0.25">
      <c r="A34">
        <v>922557</v>
      </c>
      <c r="B34" t="s">
        <v>282</v>
      </c>
      <c r="C34">
        <v>0.15</v>
      </c>
      <c r="D34">
        <v>0.15</v>
      </c>
      <c r="E34">
        <v>0.15</v>
      </c>
      <c r="F34">
        <v>0</v>
      </c>
      <c r="G34">
        <v>0</v>
      </c>
      <c r="H34">
        <v>0</v>
      </c>
      <c r="I34">
        <v>0</v>
      </c>
      <c r="J34">
        <v>0</v>
      </c>
      <c r="K34">
        <v>0</v>
      </c>
      <c r="N34">
        <v>922557</v>
      </c>
      <c r="O34" t="s">
        <v>282</v>
      </c>
      <c r="P34">
        <v>0.15</v>
      </c>
      <c r="Q34">
        <v>0</v>
      </c>
      <c r="R34">
        <v>0</v>
      </c>
      <c r="S34">
        <v>0</v>
      </c>
      <c r="T34">
        <v>0</v>
      </c>
      <c r="U34">
        <v>0</v>
      </c>
      <c r="V34">
        <v>0</v>
      </c>
      <c r="W34">
        <v>0.15</v>
      </c>
      <c r="X34">
        <v>0.15</v>
      </c>
    </row>
    <row r="35" spans="1:24" x14ac:dyDescent="0.25">
      <c r="A35">
        <v>922558</v>
      </c>
      <c r="B35" t="s">
        <v>283</v>
      </c>
      <c r="C35">
        <v>0</v>
      </c>
      <c r="D35">
        <v>0</v>
      </c>
      <c r="E35">
        <v>0</v>
      </c>
      <c r="F35">
        <v>0.2</v>
      </c>
      <c r="G35">
        <v>0.2</v>
      </c>
      <c r="H35">
        <v>0</v>
      </c>
      <c r="I35">
        <v>0</v>
      </c>
      <c r="J35">
        <v>0.2</v>
      </c>
      <c r="K35">
        <v>0</v>
      </c>
      <c r="N35">
        <v>922558</v>
      </c>
      <c r="O35" t="s">
        <v>283</v>
      </c>
      <c r="P35">
        <v>0</v>
      </c>
      <c r="Q35">
        <v>0.2</v>
      </c>
      <c r="R35">
        <v>0.2</v>
      </c>
      <c r="S35">
        <v>0.2</v>
      </c>
      <c r="T35">
        <v>0</v>
      </c>
      <c r="U35">
        <v>0</v>
      </c>
      <c r="V35">
        <v>0</v>
      </c>
      <c r="W35">
        <v>0</v>
      </c>
      <c r="X35">
        <v>0</v>
      </c>
    </row>
    <row r="37" spans="1:24" x14ac:dyDescent="0.25">
      <c r="B37" t="s">
        <v>18</v>
      </c>
      <c r="C37">
        <v>100</v>
      </c>
      <c r="D37">
        <v>100</v>
      </c>
      <c r="E37">
        <v>100</v>
      </c>
      <c r="F37">
        <v>100</v>
      </c>
      <c r="G37">
        <v>100</v>
      </c>
      <c r="H37">
        <v>100</v>
      </c>
      <c r="I37">
        <v>100</v>
      </c>
      <c r="J37">
        <v>100</v>
      </c>
      <c r="K37">
        <v>100</v>
      </c>
      <c r="O37" t="s">
        <v>18</v>
      </c>
      <c r="P37">
        <v>100</v>
      </c>
      <c r="Q37">
        <v>100</v>
      </c>
      <c r="R37">
        <v>100</v>
      </c>
      <c r="S37">
        <v>100</v>
      </c>
      <c r="T37">
        <v>100</v>
      </c>
      <c r="U37">
        <v>100</v>
      </c>
      <c r="V37">
        <v>100</v>
      </c>
      <c r="W37">
        <v>100</v>
      </c>
      <c r="X37">
        <v>100</v>
      </c>
    </row>
    <row r="38" spans="1:24" x14ac:dyDescent="0.25">
      <c r="B38" t="s">
        <v>20</v>
      </c>
      <c r="C38">
        <v>88.149283999999994</v>
      </c>
      <c r="D38">
        <v>88.406261999999998</v>
      </c>
      <c r="E38">
        <v>88.225511999999995</v>
      </c>
      <c r="F38">
        <v>89.558367000000004</v>
      </c>
      <c r="G38">
        <v>88.248350000000002</v>
      </c>
      <c r="H38">
        <v>88.131050000000002</v>
      </c>
      <c r="I38">
        <v>87.892415</v>
      </c>
      <c r="J38">
        <v>90.669309999999996</v>
      </c>
      <c r="K38">
        <v>88.044439999999994</v>
      </c>
      <c r="O38" t="s">
        <v>20</v>
      </c>
      <c r="P38">
        <v>88.149283999999994</v>
      </c>
      <c r="Q38">
        <v>90.669309999999996</v>
      </c>
      <c r="R38">
        <v>89.558367000000004</v>
      </c>
      <c r="S38">
        <v>88.248350000000002</v>
      </c>
      <c r="T38">
        <v>88.131050000000002</v>
      </c>
      <c r="U38">
        <v>88.044439999999994</v>
      </c>
      <c r="V38">
        <v>87.892415</v>
      </c>
      <c r="W38">
        <v>88.406261999999998</v>
      </c>
      <c r="X38">
        <v>88.225511999999995</v>
      </c>
    </row>
    <row r="39" spans="1:24" x14ac:dyDescent="0.25">
      <c r="B39" t="s">
        <v>21</v>
      </c>
      <c r="C39">
        <v>17.603186999999998</v>
      </c>
      <c r="D39">
        <v>14.287184</v>
      </c>
      <c r="E39">
        <v>15.610727000000001</v>
      </c>
      <c r="F39">
        <v>22.487777000000001</v>
      </c>
      <c r="G39">
        <v>21.457355</v>
      </c>
      <c r="H39">
        <v>21.321960000000001</v>
      </c>
      <c r="I39">
        <v>16.903451</v>
      </c>
      <c r="J39">
        <v>22.755053</v>
      </c>
      <c r="K39">
        <v>19.081600000000002</v>
      </c>
      <c r="O39" t="s">
        <v>21</v>
      </c>
      <c r="P39">
        <v>17.603186999999998</v>
      </c>
      <c r="Q39">
        <v>22.755053</v>
      </c>
      <c r="R39">
        <v>22.487777000000001</v>
      </c>
      <c r="S39">
        <v>21.457355</v>
      </c>
      <c r="T39">
        <v>21.321960000000001</v>
      </c>
      <c r="U39">
        <v>19.081600000000002</v>
      </c>
      <c r="V39">
        <v>16.903451</v>
      </c>
      <c r="W39">
        <v>14.287184</v>
      </c>
      <c r="X39">
        <v>15.610727000000001</v>
      </c>
    </row>
    <row r="40" spans="1:24" x14ac:dyDescent="0.25">
      <c r="B40" t="s">
        <v>22</v>
      </c>
      <c r="C40">
        <v>4.4115950000000002</v>
      </c>
      <c r="D40">
        <v>4.2169930000000004</v>
      </c>
      <c r="E40">
        <v>4.1336680000000001</v>
      </c>
      <c r="F40">
        <v>4.0087229999999998</v>
      </c>
      <c r="G40">
        <v>3.6755499999999999</v>
      </c>
      <c r="H40">
        <v>4.34171</v>
      </c>
      <c r="I40">
        <v>4.3781270000000001</v>
      </c>
      <c r="J40">
        <v>3.7531599999999998</v>
      </c>
      <c r="K40">
        <v>4.5007599999999996</v>
      </c>
      <c r="O40" t="s">
        <v>22</v>
      </c>
      <c r="P40">
        <v>4.4115950000000002</v>
      </c>
      <c r="Q40">
        <v>3.7531599999999998</v>
      </c>
      <c r="R40">
        <v>4.0087229999999998</v>
      </c>
      <c r="S40">
        <v>3.6755499999999999</v>
      </c>
      <c r="T40">
        <v>4.34171</v>
      </c>
      <c r="U40">
        <v>4.5007599999999996</v>
      </c>
      <c r="V40">
        <v>4.3781270000000001</v>
      </c>
      <c r="W40">
        <v>4.2169930000000004</v>
      </c>
      <c r="X40">
        <v>4.1336680000000001</v>
      </c>
    </row>
    <row r="41" spans="1:24" x14ac:dyDescent="0.25">
      <c r="B41" t="s">
        <v>23</v>
      </c>
      <c r="C41">
        <v>3.8462079999999998</v>
      </c>
      <c r="D41">
        <v>5.4543220000000003</v>
      </c>
      <c r="E41">
        <v>5.0173719999999999</v>
      </c>
      <c r="F41">
        <v>3.8321909999999999</v>
      </c>
      <c r="G41">
        <v>3.98028</v>
      </c>
      <c r="H41">
        <v>5.36252</v>
      </c>
      <c r="I41">
        <v>5.1044070000000001</v>
      </c>
      <c r="J41">
        <v>3.2887010000000001</v>
      </c>
      <c r="K41">
        <v>5.4622099999999998</v>
      </c>
      <c r="O41" t="s">
        <v>23</v>
      </c>
      <c r="P41">
        <v>3.8462079999999998</v>
      </c>
      <c r="Q41">
        <v>3.2887010000000001</v>
      </c>
      <c r="R41">
        <v>3.8321909999999999</v>
      </c>
      <c r="S41">
        <v>3.98028</v>
      </c>
      <c r="T41">
        <v>5.36252</v>
      </c>
      <c r="U41">
        <v>5.4622099999999998</v>
      </c>
      <c r="V41">
        <v>5.1044070000000001</v>
      </c>
      <c r="W41">
        <v>5.4543220000000003</v>
      </c>
      <c r="X41">
        <v>5.0173719999999999</v>
      </c>
    </row>
    <row r="42" spans="1:24" x14ac:dyDescent="0.25">
      <c r="B42" t="s">
        <v>24</v>
      </c>
      <c r="C42">
        <v>5.4259829999999996</v>
      </c>
      <c r="D42">
        <v>5.7803100000000001</v>
      </c>
      <c r="E42">
        <v>5.2784420000000001</v>
      </c>
      <c r="F42">
        <v>6.1408209999999999</v>
      </c>
      <c r="G42">
        <v>5.3437849999999996</v>
      </c>
      <c r="H42">
        <v>5.040762</v>
      </c>
      <c r="I42">
        <v>4.3527630000000004</v>
      </c>
      <c r="J42">
        <v>6.3580649999999999</v>
      </c>
      <c r="K42">
        <v>4.7398150000000001</v>
      </c>
      <c r="O42" t="s">
        <v>24</v>
      </c>
      <c r="P42">
        <v>5.4259829999999996</v>
      </c>
      <c r="Q42">
        <v>6.3580649999999999</v>
      </c>
      <c r="R42">
        <v>6.1408209999999999</v>
      </c>
      <c r="S42">
        <v>5.3437849999999996</v>
      </c>
      <c r="T42">
        <v>5.040762</v>
      </c>
      <c r="U42">
        <v>4.7398150000000001</v>
      </c>
      <c r="V42">
        <v>4.3527630000000004</v>
      </c>
      <c r="W42">
        <v>5.7803100000000001</v>
      </c>
      <c r="X42">
        <v>5.2784420000000001</v>
      </c>
    </row>
    <row r="43" spans="1:24" x14ac:dyDescent="0.25">
      <c r="B43" t="s">
        <v>25</v>
      </c>
      <c r="C43">
        <v>11.850716</v>
      </c>
      <c r="D43">
        <v>11.593738</v>
      </c>
      <c r="E43">
        <v>11.774488</v>
      </c>
      <c r="F43">
        <v>10.441632999999999</v>
      </c>
      <c r="G43">
        <v>11.75165</v>
      </c>
      <c r="H43">
        <v>11.86895</v>
      </c>
      <c r="I43">
        <v>12.107585</v>
      </c>
      <c r="J43">
        <v>9.3306900000000006</v>
      </c>
      <c r="K43">
        <v>11.95556</v>
      </c>
      <c r="O43" t="s">
        <v>25</v>
      </c>
      <c r="P43">
        <v>11.850716</v>
      </c>
      <c r="Q43">
        <v>9.3306900000000006</v>
      </c>
      <c r="R43">
        <v>10.441632999999999</v>
      </c>
      <c r="S43">
        <v>11.75165</v>
      </c>
      <c r="T43">
        <v>11.86895</v>
      </c>
      <c r="U43">
        <v>11.95556</v>
      </c>
      <c r="V43">
        <v>12.107585</v>
      </c>
      <c r="W43">
        <v>11.593738</v>
      </c>
      <c r="X43">
        <v>11.774488</v>
      </c>
    </row>
    <row r="44" spans="1:24" x14ac:dyDescent="0.25">
      <c r="B44" t="s">
        <v>178</v>
      </c>
      <c r="C44">
        <v>56.769838999999997</v>
      </c>
      <c r="D44">
        <v>58.573532</v>
      </c>
      <c r="E44">
        <v>58.140183999999998</v>
      </c>
      <c r="F44">
        <v>53.017093000000003</v>
      </c>
      <c r="G44">
        <v>53.796979999999998</v>
      </c>
      <c r="H44">
        <v>52.068097999999999</v>
      </c>
      <c r="I44">
        <v>57.156717999999998</v>
      </c>
      <c r="J44">
        <v>54.441679999999998</v>
      </c>
      <c r="K44">
        <v>54.263415000000002</v>
      </c>
      <c r="O44" t="s">
        <v>178</v>
      </c>
      <c r="P44">
        <v>56.769838999999997</v>
      </c>
      <c r="Q44">
        <v>54.441679999999998</v>
      </c>
      <c r="R44">
        <v>53.017093000000003</v>
      </c>
      <c r="S44">
        <v>53.796979999999998</v>
      </c>
      <c r="T44">
        <v>52.068097999999999</v>
      </c>
      <c r="U44">
        <v>54.263415000000002</v>
      </c>
      <c r="V44">
        <v>57.156717999999998</v>
      </c>
      <c r="W44">
        <v>58.573532</v>
      </c>
      <c r="X44">
        <v>58.140183999999998</v>
      </c>
    </row>
    <row r="45" spans="1:24" x14ac:dyDescent="0.25">
      <c r="B45" t="s">
        <v>26</v>
      </c>
      <c r="C45">
        <v>13.136163</v>
      </c>
      <c r="D45">
        <v>19.905228000000001</v>
      </c>
      <c r="E45">
        <v>17.879726999999999</v>
      </c>
      <c r="F45">
        <v>13.488346999999999</v>
      </c>
      <c r="G45">
        <v>13.812110000000001</v>
      </c>
      <c r="H45">
        <v>16.58053</v>
      </c>
      <c r="I45">
        <v>15.990095999999999</v>
      </c>
      <c r="J45">
        <v>10.536607</v>
      </c>
      <c r="K45">
        <v>17.019919999999999</v>
      </c>
      <c r="O45" t="s">
        <v>26</v>
      </c>
      <c r="P45">
        <v>13.136163</v>
      </c>
      <c r="Q45">
        <v>10.536607</v>
      </c>
      <c r="R45">
        <v>13.488346999999999</v>
      </c>
      <c r="S45">
        <v>13.812110000000001</v>
      </c>
      <c r="T45">
        <v>16.58053</v>
      </c>
      <c r="U45">
        <v>17.019919999999999</v>
      </c>
      <c r="V45">
        <v>15.990095999999999</v>
      </c>
      <c r="W45">
        <v>19.905228000000001</v>
      </c>
      <c r="X45">
        <v>17.879726999999999</v>
      </c>
    </row>
    <row r="46" spans="1:24" x14ac:dyDescent="0.25">
      <c r="B46" t="s">
        <v>27</v>
      </c>
      <c r="C46">
        <v>5.2425160000000002</v>
      </c>
      <c r="D46">
        <v>6.8649570000000004</v>
      </c>
      <c r="E46">
        <v>6.4446950000000003</v>
      </c>
      <c r="F46">
        <v>5.4151629999999997</v>
      </c>
      <c r="G46">
        <v>5.6012700000000004</v>
      </c>
      <c r="H46">
        <v>7.5768050000000002</v>
      </c>
      <c r="I46">
        <v>7.0550670000000002</v>
      </c>
      <c r="J46">
        <v>4.3066849999999999</v>
      </c>
      <c r="K46">
        <v>7.7105899999999998</v>
      </c>
      <c r="O46" t="s">
        <v>27</v>
      </c>
      <c r="P46">
        <v>5.2425160000000002</v>
      </c>
      <c r="Q46">
        <v>4.3066849999999999</v>
      </c>
      <c r="R46">
        <v>5.4151629999999997</v>
      </c>
      <c r="S46">
        <v>5.6012700000000004</v>
      </c>
      <c r="T46">
        <v>7.5768050000000002</v>
      </c>
      <c r="U46">
        <v>7.7105899999999998</v>
      </c>
      <c r="V46">
        <v>7.0550670000000002</v>
      </c>
      <c r="W46">
        <v>6.8649570000000004</v>
      </c>
      <c r="X46">
        <v>6.4446950000000003</v>
      </c>
    </row>
    <row r="47" spans="1:24" x14ac:dyDescent="0.25">
      <c r="B47" t="s">
        <v>179</v>
      </c>
      <c r="C47">
        <v>17.675421</v>
      </c>
      <c r="D47">
        <v>27.523164000000001</v>
      </c>
      <c r="E47">
        <v>24.819364</v>
      </c>
      <c r="F47">
        <v>15.270844</v>
      </c>
      <c r="G47">
        <v>17.976012000000001</v>
      </c>
      <c r="H47">
        <v>21.622952000000002</v>
      </c>
      <c r="I47">
        <v>21.190854000000002</v>
      </c>
      <c r="J47">
        <v>9.9120249999999999</v>
      </c>
      <c r="K47">
        <v>22.131392000000002</v>
      </c>
      <c r="O47" t="s">
        <v>179</v>
      </c>
      <c r="P47">
        <v>17.675421</v>
      </c>
      <c r="Q47">
        <v>9.9120249999999999</v>
      </c>
      <c r="R47">
        <v>15.270844</v>
      </c>
      <c r="S47">
        <v>17.976012000000001</v>
      </c>
      <c r="T47">
        <v>21.622952000000002</v>
      </c>
      <c r="U47">
        <v>22.131392000000002</v>
      </c>
      <c r="V47">
        <v>21.190854000000002</v>
      </c>
      <c r="W47">
        <v>27.523164000000001</v>
      </c>
      <c r="X47">
        <v>24.819364</v>
      </c>
    </row>
    <row r="48" spans="1:24" x14ac:dyDescent="0.25">
      <c r="B48" t="s">
        <v>28</v>
      </c>
      <c r="C48">
        <v>41.522354999999997</v>
      </c>
      <c r="D48">
        <v>37.540247000000001</v>
      </c>
      <c r="E48">
        <v>38.825994999999999</v>
      </c>
      <c r="F48">
        <v>27.477421</v>
      </c>
      <c r="G48">
        <v>35.845700000000001</v>
      </c>
      <c r="H48">
        <v>32.534999999999997</v>
      </c>
      <c r="I48">
        <v>40.505015</v>
      </c>
      <c r="J48">
        <v>25.064771</v>
      </c>
      <c r="K48">
        <v>35.531649999999999</v>
      </c>
      <c r="O48" t="s">
        <v>28</v>
      </c>
      <c r="P48">
        <v>41.522354999999997</v>
      </c>
      <c r="Q48">
        <v>25.064771</v>
      </c>
      <c r="R48">
        <v>27.477421</v>
      </c>
      <c r="S48">
        <v>35.845700000000001</v>
      </c>
      <c r="T48">
        <v>32.534999999999997</v>
      </c>
      <c r="U48">
        <v>35.531649999999999</v>
      </c>
      <c r="V48">
        <v>40.505015</v>
      </c>
      <c r="W48">
        <v>37.540247000000001</v>
      </c>
      <c r="X48">
        <v>38.825994999999999</v>
      </c>
    </row>
    <row r="49" spans="2:24" x14ac:dyDescent="0.25">
      <c r="B49" t="s">
        <v>180</v>
      </c>
      <c r="C49">
        <v>2.7996720000000002</v>
      </c>
      <c r="D49">
        <v>3.3305340000000001</v>
      </c>
      <c r="E49">
        <v>3.219535</v>
      </c>
      <c r="F49">
        <v>3.0320320000000001</v>
      </c>
      <c r="G49">
        <v>3.1083400000000001</v>
      </c>
      <c r="H49">
        <v>3.0176829999999999</v>
      </c>
      <c r="I49">
        <v>2.5803419999999999</v>
      </c>
      <c r="J49">
        <v>2.5679059999999998</v>
      </c>
      <c r="K49">
        <v>2.689975</v>
      </c>
      <c r="O49" t="s">
        <v>180</v>
      </c>
      <c r="P49">
        <v>2.7996720000000002</v>
      </c>
      <c r="Q49">
        <v>2.5679059999999998</v>
      </c>
      <c r="R49">
        <v>3.0320320000000001</v>
      </c>
      <c r="S49">
        <v>3.1083400000000001</v>
      </c>
      <c r="T49">
        <v>3.0176829999999999</v>
      </c>
      <c r="U49">
        <v>2.689975</v>
      </c>
      <c r="V49">
        <v>2.5803419999999999</v>
      </c>
      <c r="W49">
        <v>3.3305340000000001</v>
      </c>
      <c r="X49">
        <v>3.219535</v>
      </c>
    </row>
    <row r="50" spans="2:24" x14ac:dyDescent="0.25">
      <c r="B50" t="s">
        <v>119</v>
      </c>
      <c r="C50">
        <v>0</v>
      </c>
      <c r="D50">
        <v>0</v>
      </c>
      <c r="E50">
        <v>0</v>
      </c>
      <c r="F50">
        <v>6</v>
      </c>
      <c r="G50">
        <v>0</v>
      </c>
      <c r="H50">
        <v>0</v>
      </c>
      <c r="I50">
        <v>0</v>
      </c>
      <c r="J50">
        <v>12</v>
      </c>
      <c r="K50">
        <v>0</v>
      </c>
      <c r="O50" t="s">
        <v>119</v>
      </c>
      <c r="P50">
        <v>0</v>
      </c>
      <c r="Q50">
        <v>12</v>
      </c>
      <c r="R50">
        <v>6</v>
      </c>
      <c r="S50">
        <v>0</v>
      </c>
      <c r="T50">
        <v>0</v>
      </c>
      <c r="U50">
        <v>0</v>
      </c>
      <c r="V50">
        <v>0</v>
      </c>
      <c r="W50">
        <v>0</v>
      </c>
      <c r="X50">
        <v>0</v>
      </c>
    </row>
    <row r="51" spans="2:24" x14ac:dyDescent="0.25">
      <c r="B51" t="s">
        <v>29</v>
      </c>
      <c r="C51">
        <v>3.3463159999999998</v>
      </c>
      <c r="D51">
        <v>3.0185719999999998</v>
      </c>
      <c r="E51">
        <v>3.1274440000000001</v>
      </c>
      <c r="F51">
        <v>3.3995359999999999</v>
      </c>
      <c r="G51">
        <v>3.3728769999999999</v>
      </c>
      <c r="H51">
        <v>3.3357199999999998</v>
      </c>
      <c r="I51">
        <v>3.2999800000000001</v>
      </c>
      <c r="J51">
        <v>3.4456709999999999</v>
      </c>
      <c r="K51">
        <v>3.310346</v>
      </c>
      <c r="O51" t="s">
        <v>29</v>
      </c>
      <c r="P51">
        <v>3.3463159999999998</v>
      </c>
      <c r="Q51">
        <v>3.4456709999999999</v>
      </c>
      <c r="R51">
        <v>3.3995359999999999</v>
      </c>
      <c r="S51">
        <v>3.3728769999999999</v>
      </c>
      <c r="T51">
        <v>3.3357199999999998</v>
      </c>
      <c r="U51">
        <v>3.310346</v>
      </c>
      <c r="V51">
        <v>3.2999800000000001</v>
      </c>
      <c r="W51">
        <v>3.0185719999999998</v>
      </c>
      <c r="X51">
        <v>3.1274440000000001</v>
      </c>
    </row>
    <row r="52" spans="2:24" x14ac:dyDescent="0.25">
      <c r="B52" t="s">
        <v>31</v>
      </c>
      <c r="C52">
        <v>3.2112889999999998</v>
      </c>
      <c r="D52">
        <v>2.9075470000000001</v>
      </c>
      <c r="E52">
        <v>3.0078140000000002</v>
      </c>
      <c r="F52">
        <v>3.2404899999999999</v>
      </c>
      <c r="G52">
        <v>3.2215220000000002</v>
      </c>
      <c r="H52">
        <v>3.1849020000000001</v>
      </c>
      <c r="I52">
        <v>3.1716440000000001</v>
      </c>
      <c r="J52">
        <v>3.2789609999999998</v>
      </c>
      <c r="K52">
        <v>3.1720470000000001</v>
      </c>
      <c r="O52" t="s">
        <v>31</v>
      </c>
      <c r="P52">
        <v>3.2112889999999998</v>
      </c>
      <c r="Q52">
        <v>3.2789609999999998</v>
      </c>
      <c r="R52">
        <v>3.2404899999999999</v>
      </c>
      <c r="S52">
        <v>3.2215220000000002</v>
      </c>
      <c r="T52">
        <v>3.1849020000000001</v>
      </c>
      <c r="U52">
        <v>3.1720470000000001</v>
      </c>
      <c r="V52">
        <v>3.1716440000000001</v>
      </c>
      <c r="W52">
        <v>2.9075470000000001</v>
      </c>
      <c r="X52">
        <v>3.0078140000000002</v>
      </c>
    </row>
    <row r="53" spans="2:24" x14ac:dyDescent="0.25">
      <c r="B53" t="s">
        <v>32</v>
      </c>
      <c r="C53">
        <v>2.4052859999999998</v>
      </c>
      <c r="D53">
        <v>2.182528</v>
      </c>
      <c r="E53">
        <v>2.2510330000000001</v>
      </c>
      <c r="F53">
        <v>2.3499219999999998</v>
      </c>
      <c r="G53">
        <v>2.3490310000000001</v>
      </c>
      <c r="H53">
        <v>2.3007430000000002</v>
      </c>
      <c r="I53">
        <v>2.3627069999999999</v>
      </c>
      <c r="J53">
        <v>2.401834</v>
      </c>
      <c r="K53">
        <v>2.3224849999999999</v>
      </c>
      <c r="O53" t="s">
        <v>32</v>
      </c>
      <c r="P53">
        <v>2.4052859999999998</v>
      </c>
      <c r="Q53">
        <v>2.401834</v>
      </c>
      <c r="R53">
        <v>2.3499219999999998</v>
      </c>
      <c r="S53">
        <v>2.3490310000000001</v>
      </c>
      <c r="T53">
        <v>2.3007430000000002</v>
      </c>
      <c r="U53">
        <v>2.3224849999999999</v>
      </c>
      <c r="V53">
        <v>2.3627069999999999</v>
      </c>
      <c r="W53">
        <v>2.182528</v>
      </c>
      <c r="X53">
        <v>2.2510330000000001</v>
      </c>
    </row>
    <row r="54" spans="2:24" x14ac:dyDescent="0.25">
      <c r="B54" t="s">
        <v>33</v>
      </c>
      <c r="C54">
        <v>2.4936699999999998</v>
      </c>
      <c r="D54">
        <v>2.278737</v>
      </c>
      <c r="E54">
        <v>2.3477049999999999</v>
      </c>
      <c r="F54">
        <v>2.424385</v>
      </c>
      <c r="G54">
        <v>2.441983</v>
      </c>
      <c r="H54">
        <v>2.3985240000000001</v>
      </c>
      <c r="I54">
        <v>2.4528439999999998</v>
      </c>
      <c r="J54">
        <v>2.4548830000000001</v>
      </c>
      <c r="K54">
        <v>2.415724</v>
      </c>
      <c r="O54" t="s">
        <v>33</v>
      </c>
      <c r="P54">
        <v>2.4936699999999998</v>
      </c>
      <c r="Q54">
        <v>2.4548830000000001</v>
      </c>
      <c r="R54">
        <v>2.424385</v>
      </c>
      <c r="S54">
        <v>2.441983</v>
      </c>
      <c r="T54">
        <v>2.3985240000000001</v>
      </c>
      <c r="U54">
        <v>2.415724</v>
      </c>
      <c r="V54">
        <v>2.4528439999999998</v>
      </c>
      <c r="W54">
        <v>2.278737</v>
      </c>
      <c r="X54">
        <v>2.3477049999999999</v>
      </c>
    </row>
    <row r="55" spans="2:24" x14ac:dyDescent="0.25">
      <c r="B55" t="s">
        <v>34</v>
      </c>
      <c r="C55">
        <v>0.86604300000000001</v>
      </c>
      <c r="D55">
        <v>0.84476099999999998</v>
      </c>
      <c r="E55">
        <v>0.69095399999999996</v>
      </c>
      <c r="F55">
        <v>0.60471399999999997</v>
      </c>
      <c r="G55">
        <v>0.66100599999999998</v>
      </c>
      <c r="H55">
        <v>0.57847099999999996</v>
      </c>
      <c r="I55">
        <v>0.52856199999999998</v>
      </c>
      <c r="J55">
        <v>0.606348</v>
      </c>
      <c r="K55">
        <v>0.55940599999999996</v>
      </c>
      <c r="O55" t="s">
        <v>34</v>
      </c>
      <c r="P55">
        <v>0.86604300000000001</v>
      </c>
      <c r="Q55">
        <v>0.606348</v>
      </c>
      <c r="R55">
        <v>0.60471399999999997</v>
      </c>
      <c r="S55">
        <v>0.66100599999999998</v>
      </c>
      <c r="T55">
        <v>0.57847099999999996</v>
      </c>
      <c r="U55">
        <v>0.55940599999999996</v>
      </c>
      <c r="V55">
        <v>0.52856199999999998</v>
      </c>
      <c r="W55">
        <v>0.84476099999999998</v>
      </c>
      <c r="X55">
        <v>0.69095399999999996</v>
      </c>
    </row>
    <row r="56" spans="2:24" x14ac:dyDescent="0.25">
      <c r="B56" t="s">
        <v>35</v>
      </c>
      <c r="C56">
        <v>0.57786400000000004</v>
      </c>
      <c r="D56">
        <v>0.68996199999999996</v>
      </c>
      <c r="E56">
        <v>0.61154200000000003</v>
      </c>
      <c r="F56">
        <v>0.60243800000000003</v>
      </c>
      <c r="G56">
        <v>0.54240200000000005</v>
      </c>
      <c r="H56">
        <v>0.53317199999999998</v>
      </c>
      <c r="I56">
        <v>0.47643099999999999</v>
      </c>
      <c r="J56">
        <v>0.58564700000000003</v>
      </c>
      <c r="K56">
        <v>0.51235200000000003</v>
      </c>
      <c r="O56" t="s">
        <v>35</v>
      </c>
      <c r="P56">
        <v>0.57786400000000004</v>
      </c>
      <c r="Q56">
        <v>0.58564700000000003</v>
      </c>
      <c r="R56">
        <v>0.60243800000000003</v>
      </c>
      <c r="S56">
        <v>0.54240200000000005</v>
      </c>
      <c r="T56">
        <v>0.53317199999999998</v>
      </c>
      <c r="U56">
        <v>0.51235200000000003</v>
      </c>
      <c r="V56">
        <v>0.47643099999999999</v>
      </c>
      <c r="W56">
        <v>0.68996199999999996</v>
      </c>
      <c r="X56">
        <v>0.61154200000000003</v>
      </c>
    </row>
    <row r="57" spans="2:24" x14ac:dyDescent="0.25">
      <c r="B57" t="s">
        <v>36</v>
      </c>
      <c r="C57">
        <v>0.45179900000000001</v>
      </c>
      <c r="D57">
        <v>0.445913</v>
      </c>
      <c r="E57">
        <v>0.40051799999999999</v>
      </c>
      <c r="F57">
        <v>0.48208400000000001</v>
      </c>
      <c r="G57">
        <v>0.41492200000000001</v>
      </c>
      <c r="H57">
        <v>0.31750699999999998</v>
      </c>
      <c r="I57">
        <v>0.268125</v>
      </c>
      <c r="J57">
        <v>0.48061799999999999</v>
      </c>
      <c r="K57">
        <v>0.291545</v>
      </c>
      <c r="O57" t="s">
        <v>36</v>
      </c>
      <c r="P57">
        <v>0.45179900000000001</v>
      </c>
      <c r="Q57">
        <v>0.48061799999999999</v>
      </c>
      <c r="R57">
        <v>0.48208400000000001</v>
      </c>
      <c r="S57">
        <v>0.41492200000000001</v>
      </c>
      <c r="T57">
        <v>0.31750699999999998</v>
      </c>
      <c r="U57">
        <v>0.291545</v>
      </c>
      <c r="V57">
        <v>0.268125</v>
      </c>
      <c r="W57">
        <v>0.445913</v>
      </c>
      <c r="X57">
        <v>0.40051799999999999</v>
      </c>
    </row>
    <row r="58" spans="2:24" x14ac:dyDescent="0.25">
      <c r="B58" t="s">
        <v>37</v>
      </c>
      <c r="C58">
        <v>0.35926400000000003</v>
      </c>
      <c r="D58">
        <v>0.359622</v>
      </c>
      <c r="E58">
        <v>0.32927099999999998</v>
      </c>
      <c r="F58">
        <v>0.39302399999999998</v>
      </c>
      <c r="G58">
        <v>0.33880500000000002</v>
      </c>
      <c r="H58">
        <v>0.28549099999999999</v>
      </c>
      <c r="I58">
        <v>0.247168</v>
      </c>
      <c r="J58">
        <v>0.40135900000000002</v>
      </c>
      <c r="K58">
        <v>0.26883200000000002</v>
      </c>
      <c r="O58" t="s">
        <v>37</v>
      </c>
      <c r="P58">
        <v>0.35926400000000003</v>
      </c>
      <c r="Q58">
        <v>0.40135900000000002</v>
      </c>
      <c r="R58">
        <v>0.39302399999999998</v>
      </c>
      <c r="S58">
        <v>0.33880500000000002</v>
      </c>
      <c r="T58">
        <v>0.28549099999999999</v>
      </c>
      <c r="U58">
        <v>0.26883200000000002</v>
      </c>
      <c r="V58">
        <v>0.247168</v>
      </c>
      <c r="W58">
        <v>0.359622</v>
      </c>
      <c r="X58">
        <v>0.32927099999999998</v>
      </c>
    </row>
    <row r="59" spans="2:24" x14ac:dyDescent="0.25">
      <c r="B59" t="s">
        <v>38</v>
      </c>
      <c r="C59">
        <v>0.45751700000000001</v>
      </c>
      <c r="D59">
        <v>0.51581399999999999</v>
      </c>
      <c r="E59">
        <v>0.45596500000000001</v>
      </c>
      <c r="F59">
        <v>0.50153300000000001</v>
      </c>
      <c r="G59">
        <v>0.43196299999999999</v>
      </c>
      <c r="H59">
        <v>0.33901399999999998</v>
      </c>
      <c r="I59">
        <v>0.28574500000000003</v>
      </c>
      <c r="J59">
        <v>0.50314400000000004</v>
      </c>
      <c r="K59">
        <v>0.31186399999999997</v>
      </c>
      <c r="O59" t="s">
        <v>38</v>
      </c>
      <c r="P59">
        <v>0.45751700000000001</v>
      </c>
      <c r="Q59">
        <v>0.50314400000000004</v>
      </c>
      <c r="R59">
        <v>0.50153300000000001</v>
      </c>
      <c r="S59">
        <v>0.43196299999999999</v>
      </c>
      <c r="T59">
        <v>0.33901399999999998</v>
      </c>
      <c r="U59">
        <v>0.31186399999999997</v>
      </c>
      <c r="V59">
        <v>0.28574500000000003</v>
      </c>
      <c r="W59">
        <v>0.51581399999999999</v>
      </c>
      <c r="X59">
        <v>0.45596500000000001</v>
      </c>
    </row>
    <row r="60" spans="2:24" x14ac:dyDescent="0.25">
      <c r="B60" t="s">
        <v>39</v>
      </c>
      <c r="C60">
        <v>0.24806400000000001</v>
      </c>
      <c r="D60">
        <v>0.36604900000000001</v>
      </c>
      <c r="E60">
        <v>0.33302500000000002</v>
      </c>
      <c r="F60">
        <v>0.24235300000000001</v>
      </c>
      <c r="G60">
        <v>0.24948000000000001</v>
      </c>
      <c r="H60">
        <v>0.31766499999999998</v>
      </c>
      <c r="I60">
        <v>0.31030600000000003</v>
      </c>
      <c r="J60">
        <v>0.22702900000000001</v>
      </c>
      <c r="K60">
        <v>0.32280700000000001</v>
      </c>
      <c r="O60" t="s">
        <v>39</v>
      </c>
      <c r="P60">
        <v>0.24806400000000001</v>
      </c>
      <c r="Q60">
        <v>0.22702900000000001</v>
      </c>
      <c r="R60">
        <v>0.24235300000000001</v>
      </c>
      <c r="S60">
        <v>0.24948000000000001</v>
      </c>
      <c r="T60">
        <v>0.31766499999999998</v>
      </c>
      <c r="U60">
        <v>0.32280700000000001</v>
      </c>
      <c r="V60">
        <v>0.31030600000000003</v>
      </c>
      <c r="W60">
        <v>0.36604900000000001</v>
      </c>
      <c r="X60">
        <v>0.33302500000000002</v>
      </c>
    </row>
    <row r="61" spans="2:24" x14ac:dyDescent="0.25">
      <c r="B61" t="s">
        <v>40</v>
      </c>
      <c r="C61">
        <v>0.122</v>
      </c>
      <c r="D61">
        <v>0.122</v>
      </c>
      <c r="E61">
        <v>0.122</v>
      </c>
      <c r="F61">
        <v>0.122</v>
      </c>
      <c r="G61">
        <v>0.122</v>
      </c>
      <c r="H61">
        <v>0.10199999999999999</v>
      </c>
      <c r="I61">
        <v>0.10199999999999999</v>
      </c>
      <c r="J61">
        <v>0.122</v>
      </c>
      <c r="K61">
        <v>0.10199999999999999</v>
      </c>
      <c r="O61" t="s">
        <v>40</v>
      </c>
      <c r="P61">
        <v>0.122</v>
      </c>
      <c r="Q61">
        <v>0.122</v>
      </c>
      <c r="R61">
        <v>0.122</v>
      </c>
      <c r="S61">
        <v>0.122</v>
      </c>
      <c r="T61">
        <v>0.10199999999999999</v>
      </c>
      <c r="U61">
        <v>0.10199999999999999</v>
      </c>
      <c r="V61">
        <v>0.10199999999999999</v>
      </c>
      <c r="W61">
        <v>0.122</v>
      </c>
      <c r="X61">
        <v>0.122</v>
      </c>
    </row>
    <row r="62" spans="2:24" x14ac:dyDescent="0.25">
      <c r="B62" t="s">
        <v>41</v>
      </c>
      <c r="C62">
        <v>0.10979999999999999</v>
      </c>
      <c r="D62">
        <v>0.10979999999999999</v>
      </c>
      <c r="E62">
        <v>0.10979999999999999</v>
      </c>
      <c r="F62">
        <v>0.10979999999999999</v>
      </c>
      <c r="G62">
        <v>0.10979999999999999</v>
      </c>
      <c r="H62">
        <v>9.1800000000000007E-2</v>
      </c>
      <c r="I62">
        <v>9.1800000000000007E-2</v>
      </c>
      <c r="J62">
        <v>0.10979999999999999</v>
      </c>
      <c r="K62">
        <v>9.1800000000000007E-2</v>
      </c>
      <c r="O62" t="s">
        <v>41</v>
      </c>
      <c r="P62">
        <v>0.10979999999999999</v>
      </c>
      <c r="Q62">
        <v>0.10979999999999999</v>
      </c>
      <c r="R62">
        <v>0.10979999999999999</v>
      </c>
      <c r="S62">
        <v>0.10979999999999999</v>
      </c>
      <c r="T62">
        <v>9.1800000000000007E-2</v>
      </c>
      <c r="U62">
        <v>9.1800000000000007E-2</v>
      </c>
      <c r="V62">
        <v>9.1800000000000007E-2</v>
      </c>
      <c r="W62">
        <v>0.10979999999999999</v>
      </c>
      <c r="X62">
        <v>0.10979999999999999</v>
      </c>
    </row>
    <row r="63" spans="2:24" x14ac:dyDescent="0.25">
      <c r="B63" t="s">
        <v>42</v>
      </c>
      <c r="C63">
        <v>0.1159</v>
      </c>
      <c r="D63">
        <v>0.1159</v>
      </c>
      <c r="E63">
        <v>0.1159</v>
      </c>
      <c r="F63">
        <v>0.11224000000000001</v>
      </c>
      <c r="G63">
        <v>0.11224000000000001</v>
      </c>
      <c r="H63">
        <v>9.3840000000000007E-2</v>
      </c>
      <c r="I63">
        <v>9.3840000000000007E-2</v>
      </c>
      <c r="J63">
        <v>0.11224000000000001</v>
      </c>
      <c r="K63">
        <v>9.3840000000000007E-2</v>
      </c>
      <c r="O63" t="s">
        <v>42</v>
      </c>
      <c r="P63">
        <v>0.1159</v>
      </c>
      <c r="Q63">
        <v>0.11224000000000001</v>
      </c>
      <c r="R63">
        <v>0.11224000000000001</v>
      </c>
      <c r="S63">
        <v>0.11224000000000001</v>
      </c>
      <c r="T63">
        <v>9.3840000000000007E-2</v>
      </c>
      <c r="U63">
        <v>9.3840000000000007E-2</v>
      </c>
      <c r="V63">
        <v>9.3840000000000007E-2</v>
      </c>
      <c r="W63">
        <v>0.1159</v>
      </c>
      <c r="X63">
        <v>0.1159</v>
      </c>
    </row>
    <row r="64" spans="2:24" x14ac:dyDescent="0.25">
      <c r="B64" t="s">
        <v>43</v>
      </c>
      <c r="C64">
        <v>750</v>
      </c>
      <c r="D64">
        <v>750</v>
      </c>
      <c r="E64">
        <v>750</v>
      </c>
      <c r="F64">
        <v>1500</v>
      </c>
      <c r="G64">
        <v>1500</v>
      </c>
      <c r="H64">
        <v>500</v>
      </c>
      <c r="I64">
        <v>500</v>
      </c>
      <c r="J64">
        <v>1500</v>
      </c>
      <c r="K64">
        <v>500</v>
      </c>
      <c r="O64" t="s">
        <v>43</v>
      </c>
      <c r="P64">
        <v>750</v>
      </c>
      <c r="Q64">
        <v>1500</v>
      </c>
      <c r="R64">
        <v>1500</v>
      </c>
      <c r="S64">
        <v>1500</v>
      </c>
      <c r="T64">
        <v>500</v>
      </c>
      <c r="U64">
        <v>500</v>
      </c>
      <c r="V64">
        <v>500</v>
      </c>
      <c r="W64">
        <v>750</v>
      </c>
      <c r="X64">
        <v>750</v>
      </c>
    </row>
    <row r="65" spans="2:24" x14ac:dyDescent="0.25">
      <c r="B65" t="s">
        <v>45</v>
      </c>
      <c r="C65">
        <v>1.4986969999999999</v>
      </c>
      <c r="D65">
        <v>1.2243580000000001</v>
      </c>
      <c r="E65">
        <v>1.1298539999999999</v>
      </c>
      <c r="F65">
        <v>1.003779</v>
      </c>
      <c r="G65">
        <v>1.218664</v>
      </c>
      <c r="H65">
        <v>1.0849610000000001</v>
      </c>
      <c r="I65">
        <v>1.1094200000000001</v>
      </c>
      <c r="J65">
        <v>1.035347</v>
      </c>
      <c r="K65">
        <v>1.091839</v>
      </c>
      <c r="O65" t="s">
        <v>45</v>
      </c>
      <c r="P65">
        <v>1.4986969999999999</v>
      </c>
      <c r="Q65">
        <v>1.035347</v>
      </c>
      <c r="R65">
        <v>1.003779</v>
      </c>
      <c r="S65">
        <v>1.218664</v>
      </c>
      <c r="T65">
        <v>1.0849610000000001</v>
      </c>
      <c r="U65">
        <v>1.091839</v>
      </c>
      <c r="V65">
        <v>1.1094200000000001</v>
      </c>
      <c r="W65">
        <v>1.2243580000000001</v>
      </c>
      <c r="X65">
        <v>1.1298539999999999</v>
      </c>
    </row>
    <row r="66" spans="2:24" x14ac:dyDescent="0.25">
      <c r="B66" t="s">
        <v>47</v>
      </c>
      <c r="C66">
        <v>1.916874</v>
      </c>
      <c r="D66">
        <v>1.894452</v>
      </c>
      <c r="E66">
        <v>1.725152</v>
      </c>
      <c r="F66">
        <v>1.2543740000000001</v>
      </c>
      <c r="G66">
        <v>1.5930850000000001</v>
      </c>
      <c r="H66">
        <v>1.8219160000000001</v>
      </c>
      <c r="I66">
        <v>1.971325</v>
      </c>
      <c r="J66">
        <v>1.261601</v>
      </c>
      <c r="K66">
        <v>1.9187639999999999</v>
      </c>
      <c r="O66" t="s">
        <v>47</v>
      </c>
      <c r="P66">
        <v>1.916874</v>
      </c>
      <c r="Q66">
        <v>1.261601</v>
      </c>
      <c r="R66">
        <v>1.2543740000000001</v>
      </c>
      <c r="S66">
        <v>1.5930850000000001</v>
      </c>
      <c r="T66">
        <v>1.8219160000000001</v>
      </c>
      <c r="U66">
        <v>1.9187639999999999</v>
      </c>
      <c r="V66">
        <v>1.971325</v>
      </c>
      <c r="W66">
        <v>1.894452</v>
      </c>
      <c r="X66">
        <v>1.725152</v>
      </c>
    </row>
    <row r="67" spans="2:24" x14ac:dyDescent="0.25">
      <c r="B67" t="s">
        <v>48</v>
      </c>
      <c r="C67">
        <v>2.4106010000000002</v>
      </c>
      <c r="D67">
        <v>2.3490229999999999</v>
      </c>
      <c r="E67">
        <v>2.098433</v>
      </c>
      <c r="F67">
        <v>1.538619</v>
      </c>
      <c r="G67">
        <v>1.95099</v>
      </c>
      <c r="H67">
        <v>2.0262340000000001</v>
      </c>
      <c r="I67">
        <v>2.1384690000000002</v>
      </c>
      <c r="J67">
        <v>1.5107379999999999</v>
      </c>
      <c r="K67">
        <v>2.0808800000000001</v>
      </c>
      <c r="O67" t="s">
        <v>48</v>
      </c>
      <c r="P67">
        <v>2.4106010000000002</v>
      </c>
      <c r="Q67">
        <v>1.5107379999999999</v>
      </c>
      <c r="R67">
        <v>1.538619</v>
      </c>
      <c r="S67">
        <v>1.95099</v>
      </c>
      <c r="T67">
        <v>2.0262340000000001</v>
      </c>
      <c r="U67">
        <v>2.0808800000000001</v>
      </c>
      <c r="V67">
        <v>2.1384690000000002</v>
      </c>
      <c r="W67">
        <v>2.3490229999999999</v>
      </c>
      <c r="X67">
        <v>2.098433</v>
      </c>
    </row>
    <row r="68" spans="2:24" x14ac:dyDescent="0.25">
      <c r="B68" t="s">
        <v>181</v>
      </c>
      <c r="C68">
        <v>1.8929180000000001</v>
      </c>
      <c r="D68">
        <v>1.6377250000000001</v>
      </c>
      <c r="E68">
        <v>1.5153639999999999</v>
      </c>
      <c r="F68">
        <v>1.205732</v>
      </c>
      <c r="G68">
        <v>1.5302389999999999</v>
      </c>
      <c r="H68">
        <v>1.7063330000000001</v>
      </c>
      <c r="I68">
        <v>1.8497669999999999</v>
      </c>
      <c r="J68">
        <v>1.2051190000000001</v>
      </c>
      <c r="K68">
        <v>1.793752</v>
      </c>
      <c r="O68" t="s">
        <v>181</v>
      </c>
      <c r="P68">
        <v>1.8929180000000001</v>
      </c>
      <c r="Q68">
        <v>1.2051190000000001</v>
      </c>
      <c r="R68">
        <v>1.205732</v>
      </c>
      <c r="S68">
        <v>1.5302389999999999</v>
      </c>
      <c r="T68">
        <v>1.7063330000000001</v>
      </c>
      <c r="U68">
        <v>1.793752</v>
      </c>
      <c r="V68">
        <v>1.8497669999999999</v>
      </c>
      <c r="W68">
        <v>1.6377250000000001</v>
      </c>
      <c r="X68">
        <v>1.5153639999999999</v>
      </c>
    </row>
    <row r="69" spans="2:24" x14ac:dyDescent="0.25">
      <c r="B69" t="s">
        <v>49</v>
      </c>
      <c r="C69">
        <v>0.21132100000000001</v>
      </c>
      <c r="D69">
        <v>0.23250100000000001</v>
      </c>
      <c r="E69">
        <v>0.231437</v>
      </c>
      <c r="F69">
        <v>0.27204099999999998</v>
      </c>
      <c r="G69">
        <v>0.23629800000000001</v>
      </c>
      <c r="H69">
        <v>0.21429100000000001</v>
      </c>
      <c r="I69">
        <v>0.22729099999999999</v>
      </c>
      <c r="J69">
        <v>0.27245000000000003</v>
      </c>
      <c r="K69">
        <v>0.21657299999999999</v>
      </c>
      <c r="O69" t="s">
        <v>49</v>
      </c>
      <c r="P69">
        <v>0.21132100000000001</v>
      </c>
      <c r="Q69">
        <v>0.27245000000000003</v>
      </c>
      <c r="R69">
        <v>0.27204099999999998</v>
      </c>
      <c r="S69">
        <v>0.23629800000000001</v>
      </c>
      <c r="T69">
        <v>0.21429100000000001</v>
      </c>
      <c r="U69">
        <v>0.21657299999999999</v>
      </c>
      <c r="V69">
        <v>0.22729099999999999</v>
      </c>
      <c r="W69">
        <v>0.23250100000000001</v>
      </c>
      <c r="X69">
        <v>0.231437</v>
      </c>
    </row>
    <row r="70" spans="2:24" x14ac:dyDescent="0.25">
      <c r="B70" t="s">
        <v>50</v>
      </c>
      <c r="C70">
        <v>0.71705600000000003</v>
      </c>
      <c r="D70">
        <v>0.72516700000000001</v>
      </c>
      <c r="E70">
        <v>0.738093</v>
      </c>
      <c r="F70">
        <v>1.0404690000000001</v>
      </c>
      <c r="G70">
        <v>0.85193399999999997</v>
      </c>
      <c r="H70">
        <v>0.86648700000000001</v>
      </c>
      <c r="I70">
        <v>0.69152800000000003</v>
      </c>
      <c r="J70">
        <v>1.229762</v>
      </c>
      <c r="K70">
        <v>0.77318900000000002</v>
      </c>
      <c r="O70" t="s">
        <v>50</v>
      </c>
      <c r="P70">
        <v>0.71705600000000003</v>
      </c>
      <c r="Q70">
        <v>1.229762</v>
      </c>
      <c r="R70">
        <v>1.0404690000000001</v>
      </c>
      <c r="S70">
        <v>0.85193399999999997</v>
      </c>
      <c r="T70">
        <v>0.86648700000000001</v>
      </c>
      <c r="U70">
        <v>0.77318900000000002</v>
      </c>
      <c r="V70">
        <v>0.69152800000000003</v>
      </c>
      <c r="W70">
        <v>0.72516700000000001</v>
      </c>
      <c r="X70">
        <v>0.738093</v>
      </c>
    </row>
    <row r="71" spans="2:24" x14ac:dyDescent="0.25">
      <c r="B71" t="s">
        <v>51</v>
      </c>
      <c r="C71">
        <v>0.328656</v>
      </c>
      <c r="D71">
        <v>0.359352</v>
      </c>
      <c r="E71">
        <v>0.35895700000000003</v>
      </c>
      <c r="F71">
        <v>0.47384500000000002</v>
      </c>
      <c r="G71">
        <v>0.36317199999999999</v>
      </c>
      <c r="H71">
        <v>0.31549199999999999</v>
      </c>
      <c r="I71">
        <v>0.34206300000000001</v>
      </c>
      <c r="J71">
        <v>0.54338799999999998</v>
      </c>
      <c r="K71">
        <v>0.31758199999999998</v>
      </c>
      <c r="O71" t="s">
        <v>51</v>
      </c>
      <c r="P71">
        <v>0.328656</v>
      </c>
      <c r="Q71">
        <v>0.54338799999999998</v>
      </c>
      <c r="R71">
        <v>0.47384500000000002</v>
      </c>
      <c r="S71">
        <v>0.36317199999999999</v>
      </c>
      <c r="T71">
        <v>0.31549199999999999</v>
      </c>
      <c r="U71">
        <v>0.31758199999999998</v>
      </c>
      <c r="V71">
        <v>0.34206300000000001</v>
      </c>
      <c r="W71">
        <v>0.359352</v>
      </c>
      <c r="X71">
        <v>0.35895700000000003</v>
      </c>
    </row>
    <row r="72" spans="2:24" x14ac:dyDescent="0.25">
      <c r="B72" t="s">
        <v>52</v>
      </c>
      <c r="C72">
        <v>0.19839000000000001</v>
      </c>
      <c r="D72">
        <v>0.28985100000000003</v>
      </c>
      <c r="E72">
        <v>0.25668400000000002</v>
      </c>
      <c r="F72">
        <v>0.216281</v>
      </c>
      <c r="G72">
        <v>0.21118300000000001</v>
      </c>
      <c r="H72">
        <v>0.21900600000000001</v>
      </c>
      <c r="I72">
        <v>0.192884</v>
      </c>
      <c r="J72">
        <v>0.20180500000000001</v>
      </c>
      <c r="K72">
        <v>0.210533</v>
      </c>
      <c r="O72" t="s">
        <v>52</v>
      </c>
      <c r="P72">
        <v>0.19839000000000001</v>
      </c>
      <c r="Q72">
        <v>0.20180500000000001</v>
      </c>
      <c r="R72">
        <v>0.216281</v>
      </c>
      <c r="S72">
        <v>0.21118300000000001</v>
      </c>
      <c r="T72">
        <v>0.21900600000000001</v>
      </c>
      <c r="U72">
        <v>0.210533</v>
      </c>
      <c r="V72">
        <v>0.192884</v>
      </c>
      <c r="W72">
        <v>0.28985100000000003</v>
      </c>
      <c r="X72">
        <v>0.25668400000000002</v>
      </c>
    </row>
    <row r="73" spans="2:24" x14ac:dyDescent="0.25">
      <c r="B73" t="s">
        <v>53</v>
      </c>
      <c r="C73">
        <v>0.27840599999999999</v>
      </c>
      <c r="D73">
        <v>0.24735799999999999</v>
      </c>
      <c r="E73">
        <v>0.264708</v>
      </c>
      <c r="F73">
        <v>0.35063100000000003</v>
      </c>
      <c r="G73">
        <v>0.35637400000000002</v>
      </c>
      <c r="H73">
        <v>0.41147400000000001</v>
      </c>
      <c r="I73">
        <v>0.35891800000000001</v>
      </c>
      <c r="J73">
        <v>0.26274999999999998</v>
      </c>
      <c r="K73">
        <v>0.40818399999999999</v>
      </c>
      <c r="O73" t="s">
        <v>53</v>
      </c>
      <c r="P73">
        <v>0.27840599999999999</v>
      </c>
      <c r="Q73">
        <v>0.26274999999999998</v>
      </c>
      <c r="R73">
        <v>0.35063100000000003</v>
      </c>
      <c r="S73">
        <v>0.35637400000000002</v>
      </c>
      <c r="T73">
        <v>0.41147400000000001</v>
      </c>
      <c r="U73">
        <v>0.40818399999999999</v>
      </c>
      <c r="V73">
        <v>0.35891800000000001</v>
      </c>
      <c r="W73">
        <v>0.24735799999999999</v>
      </c>
      <c r="X73">
        <v>0.264708</v>
      </c>
    </row>
    <row r="74" spans="2:24" x14ac:dyDescent="0.25">
      <c r="B74" t="s">
        <v>182</v>
      </c>
      <c r="C74">
        <v>0.53499099999999999</v>
      </c>
      <c r="D74">
        <v>0.58860900000000005</v>
      </c>
      <c r="E74">
        <v>0.58591599999999999</v>
      </c>
      <c r="F74">
        <v>0.68871099999999996</v>
      </c>
      <c r="G74">
        <v>0.59822200000000003</v>
      </c>
      <c r="H74">
        <v>0.54250699999999996</v>
      </c>
      <c r="I74">
        <v>0.57542000000000004</v>
      </c>
      <c r="J74">
        <v>0.68974599999999997</v>
      </c>
      <c r="K74">
        <v>0.54828600000000005</v>
      </c>
      <c r="O74" t="s">
        <v>182</v>
      </c>
      <c r="P74">
        <v>0.53499099999999999</v>
      </c>
      <c r="Q74">
        <v>0.68974599999999997</v>
      </c>
      <c r="R74">
        <v>0.68871099999999996</v>
      </c>
      <c r="S74">
        <v>0.59822200000000003</v>
      </c>
      <c r="T74">
        <v>0.54250699999999996</v>
      </c>
      <c r="U74">
        <v>0.54828600000000005</v>
      </c>
      <c r="V74">
        <v>0.57542000000000004</v>
      </c>
      <c r="W74">
        <v>0.58860900000000005</v>
      </c>
      <c r="X74">
        <v>0.58591599999999999</v>
      </c>
    </row>
    <row r="75" spans="2:24" x14ac:dyDescent="0.25">
      <c r="B75" t="s">
        <v>183</v>
      </c>
      <c r="C75">
        <v>32.467430999999998</v>
      </c>
      <c r="D75">
        <v>45.457734000000002</v>
      </c>
      <c r="E75">
        <v>45.399890999999997</v>
      </c>
      <c r="F75">
        <v>85.417755999999997</v>
      </c>
      <c r="G75">
        <v>52.463512000000001</v>
      </c>
      <c r="H75">
        <v>-2.192625</v>
      </c>
      <c r="I75">
        <v>-25.333214999999999</v>
      </c>
      <c r="J75">
        <v>170.22344899999999</v>
      </c>
      <c r="K75">
        <v>-27.591221000000001</v>
      </c>
      <c r="O75" t="s">
        <v>183</v>
      </c>
      <c r="P75">
        <v>32.467430999999998</v>
      </c>
      <c r="Q75">
        <v>170.22344899999999</v>
      </c>
      <c r="R75">
        <v>85.417755999999997</v>
      </c>
      <c r="S75">
        <v>52.463512000000001</v>
      </c>
      <c r="T75">
        <v>-2.192625</v>
      </c>
      <c r="U75">
        <v>-27.591221000000001</v>
      </c>
      <c r="V75">
        <v>-25.333214999999999</v>
      </c>
      <c r="W75">
        <v>45.457734000000002</v>
      </c>
      <c r="X75">
        <v>45.399890999999997</v>
      </c>
    </row>
    <row r="76" spans="2:24" x14ac:dyDescent="0.25">
      <c r="B76" t="s">
        <v>54</v>
      </c>
      <c r="C76">
        <v>1.045042</v>
      </c>
      <c r="D76">
        <v>0.69158799999999998</v>
      </c>
      <c r="E76">
        <v>0.84419</v>
      </c>
      <c r="F76">
        <v>1.4125730000000001</v>
      </c>
      <c r="G76">
        <v>1.386552</v>
      </c>
      <c r="H76">
        <v>1.222032</v>
      </c>
      <c r="I76">
        <v>0.88507000000000002</v>
      </c>
      <c r="J76">
        <v>1.444061</v>
      </c>
      <c r="K76">
        <v>1.0156620000000001</v>
      </c>
      <c r="O76" t="s">
        <v>54</v>
      </c>
      <c r="P76">
        <v>1.045042</v>
      </c>
      <c r="Q76">
        <v>1.444061</v>
      </c>
      <c r="R76">
        <v>1.4125730000000001</v>
      </c>
      <c r="S76">
        <v>1.386552</v>
      </c>
      <c r="T76">
        <v>1.222032</v>
      </c>
      <c r="U76">
        <v>1.0156620000000001</v>
      </c>
      <c r="V76">
        <v>0.88507000000000002</v>
      </c>
      <c r="W76">
        <v>0.69158799999999998</v>
      </c>
      <c r="X76">
        <v>0.84419</v>
      </c>
    </row>
    <row r="77" spans="2:24" x14ac:dyDescent="0.25">
      <c r="B77" t="s">
        <v>55</v>
      </c>
      <c r="C77">
        <v>0.901169</v>
      </c>
      <c r="D77">
        <v>0.55003100000000005</v>
      </c>
      <c r="E77">
        <v>0.69883799999999996</v>
      </c>
      <c r="F77">
        <v>1.2504580000000001</v>
      </c>
      <c r="G77">
        <v>1.2249159999999999</v>
      </c>
      <c r="H77">
        <v>1.007843</v>
      </c>
      <c r="I77">
        <v>0.697241</v>
      </c>
      <c r="J77">
        <v>1.3012170000000001</v>
      </c>
      <c r="K77">
        <v>0.80564199999999997</v>
      </c>
      <c r="O77" t="s">
        <v>55</v>
      </c>
      <c r="P77">
        <v>0.901169</v>
      </c>
      <c r="Q77">
        <v>1.3012170000000001</v>
      </c>
      <c r="R77">
        <v>1.2504580000000001</v>
      </c>
      <c r="S77">
        <v>1.2249159999999999</v>
      </c>
      <c r="T77">
        <v>1.007843</v>
      </c>
      <c r="U77">
        <v>0.80564199999999997</v>
      </c>
      <c r="V77">
        <v>0.697241</v>
      </c>
      <c r="W77">
        <v>0.55003100000000005</v>
      </c>
      <c r="X77">
        <v>0.69883799999999996</v>
      </c>
    </row>
    <row r="78" spans="2:24" x14ac:dyDescent="0.25">
      <c r="B78" t="s">
        <v>56</v>
      </c>
      <c r="C78">
        <v>0.28188099999999999</v>
      </c>
      <c r="D78">
        <v>0.380079</v>
      </c>
      <c r="E78">
        <v>0.32491399999999998</v>
      </c>
      <c r="F78">
        <v>0.33979900000000002</v>
      </c>
      <c r="G78">
        <v>0.34817300000000001</v>
      </c>
      <c r="H78">
        <v>0.31509599999999999</v>
      </c>
      <c r="I78">
        <v>0.38614599999999999</v>
      </c>
      <c r="J78">
        <v>0.34878399999999998</v>
      </c>
      <c r="K78">
        <v>0.36942999999999998</v>
      </c>
      <c r="O78" t="s">
        <v>56</v>
      </c>
      <c r="P78">
        <v>0.28188099999999999</v>
      </c>
      <c r="Q78">
        <v>0.34878399999999998</v>
      </c>
      <c r="R78">
        <v>0.33979900000000002</v>
      </c>
      <c r="S78">
        <v>0.34817300000000001</v>
      </c>
      <c r="T78">
        <v>0.31509599999999999</v>
      </c>
      <c r="U78">
        <v>0.36942999999999998</v>
      </c>
      <c r="V78">
        <v>0.38614599999999999</v>
      </c>
      <c r="W78">
        <v>0.380079</v>
      </c>
      <c r="X78">
        <v>0.32491399999999998</v>
      </c>
    </row>
    <row r="79" spans="2:24" x14ac:dyDescent="0.25">
      <c r="B79" t="s">
        <v>57</v>
      </c>
      <c r="C79">
        <v>0.27782400000000002</v>
      </c>
      <c r="D79">
        <v>0.38896199999999997</v>
      </c>
      <c r="E79">
        <v>0.32500200000000001</v>
      </c>
      <c r="F79">
        <v>0.240648</v>
      </c>
      <c r="G79">
        <v>0.23200899999999999</v>
      </c>
      <c r="H79">
        <v>0.29822799999999999</v>
      </c>
      <c r="I79">
        <v>0.37373699999999999</v>
      </c>
      <c r="J79">
        <v>0.23025799999999999</v>
      </c>
      <c r="K79">
        <v>0.35148400000000002</v>
      </c>
      <c r="O79" t="s">
        <v>57</v>
      </c>
      <c r="P79">
        <v>0.27782400000000002</v>
      </c>
      <c r="Q79">
        <v>0.23025799999999999</v>
      </c>
      <c r="R79">
        <v>0.240648</v>
      </c>
      <c r="S79">
        <v>0.23200899999999999</v>
      </c>
      <c r="T79">
        <v>0.29822799999999999</v>
      </c>
      <c r="U79">
        <v>0.35148400000000002</v>
      </c>
      <c r="V79">
        <v>0.37373699999999999</v>
      </c>
      <c r="W79">
        <v>0.38896199999999997</v>
      </c>
      <c r="X79">
        <v>0.32500200000000001</v>
      </c>
    </row>
    <row r="80" spans="2:24" x14ac:dyDescent="0.25">
      <c r="B80" t="s">
        <v>58</v>
      </c>
      <c r="C80">
        <v>0.55970500000000001</v>
      </c>
      <c r="D80">
        <v>0.76904099999999997</v>
      </c>
      <c r="E80">
        <v>0.64991600000000005</v>
      </c>
      <c r="F80">
        <v>0.58044700000000005</v>
      </c>
      <c r="G80">
        <v>0.58018199999999998</v>
      </c>
      <c r="H80">
        <v>0.61332399999999998</v>
      </c>
      <c r="I80">
        <v>0.75988299999999998</v>
      </c>
      <c r="J80">
        <v>0.57904299999999997</v>
      </c>
      <c r="K80">
        <v>0.72091400000000005</v>
      </c>
      <c r="O80" t="s">
        <v>58</v>
      </c>
      <c r="P80">
        <v>0.55970500000000001</v>
      </c>
      <c r="Q80">
        <v>0.57904299999999997</v>
      </c>
      <c r="R80">
        <v>0.58044700000000005</v>
      </c>
      <c r="S80">
        <v>0.58018199999999998</v>
      </c>
      <c r="T80">
        <v>0.61332399999999998</v>
      </c>
      <c r="U80">
        <v>0.72091400000000005</v>
      </c>
      <c r="V80">
        <v>0.75988299999999998</v>
      </c>
      <c r="W80">
        <v>0.76904099999999997</v>
      </c>
      <c r="X80">
        <v>0.64991600000000005</v>
      </c>
    </row>
    <row r="81" spans="2:24" x14ac:dyDescent="0.25">
      <c r="B81" t="s">
        <v>59</v>
      </c>
      <c r="C81">
        <v>0.64106700000000005</v>
      </c>
      <c r="D81">
        <v>0.76205699999999998</v>
      </c>
      <c r="E81">
        <v>0.62714499999999995</v>
      </c>
      <c r="F81">
        <v>0.64842200000000005</v>
      </c>
      <c r="G81">
        <v>0.61365499999999995</v>
      </c>
      <c r="H81">
        <v>0.63984300000000005</v>
      </c>
      <c r="I81">
        <v>0.659161</v>
      </c>
      <c r="J81">
        <v>0.65074600000000005</v>
      </c>
      <c r="K81">
        <v>0.64937599999999995</v>
      </c>
      <c r="O81" t="s">
        <v>59</v>
      </c>
      <c r="P81">
        <v>0.64106700000000005</v>
      </c>
      <c r="Q81">
        <v>0.65074600000000005</v>
      </c>
      <c r="R81">
        <v>0.64842200000000005</v>
      </c>
      <c r="S81">
        <v>0.61365499999999995</v>
      </c>
      <c r="T81">
        <v>0.63984300000000005</v>
      </c>
      <c r="U81">
        <v>0.64937599999999995</v>
      </c>
      <c r="V81">
        <v>0.659161</v>
      </c>
      <c r="W81">
        <v>0.76205699999999998</v>
      </c>
      <c r="X81">
        <v>0.62714499999999995</v>
      </c>
    </row>
    <row r="82" spans="2:24" x14ac:dyDescent="0.25">
      <c r="B82" t="s">
        <v>60</v>
      </c>
      <c r="C82">
        <v>0.17005700000000001</v>
      </c>
      <c r="D82">
        <v>0.20764199999999999</v>
      </c>
      <c r="E82">
        <v>0.18493299999999999</v>
      </c>
      <c r="F82">
        <v>0.19953899999999999</v>
      </c>
      <c r="G82">
        <v>0.18640499999999999</v>
      </c>
      <c r="H82">
        <v>0.18579499999999999</v>
      </c>
      <c r="I82">
        <v>0.18972</v>
      </c>
      <c r="J82">
        <v>0.199877</v>
      </c>
      <c r="K82">
        <v>0.18773699999999999</v>
      </c>
      <c r="O82" t="s">
        <v>60</v>
      </c>
      <c r="P82">
        <v>0.17005700000000001</v>
      </c>
      <c r="Q82">
        <v>0.199877</v>
      </c>
      <c r="R82">
        <v>0.19953899999999999</v>
      </c>
      <c r="S82">
        <v>0.18640499999999999</v>
      </c>
      <c r="T82">
        <v>0.18579499999999999</v>
      </c>
      <c r="U82">
        <v>0.18773699999999999</v>
      </c>
      <c r="V82">
        <v>0.18972</v>
      </c>
      <c r="W82">
        <v>0.20764199999999999</v>
      </c>
      <c r="X82">
        <v>0.18493299999999999</v>
      </c>
    </row>
    <row r="83" spans="2:24" x14ac:dyDescent="0.25">
      <c r="B83" t="s">
        <v>61</v>
      </c>
      <c r="C83">
        <v>0.641235</v>
      </c>
      <c r="D83">
        <v>0.69120800000000004</v>
      </c>
      <c r="E83">
        <v>0.65070799999999995</v>
      </c>
      <c r="F83">
        <v>0.62347600000000003</v>
      </c>
      <c r="G83">
        <v>0.59726900000000005</v>
      </c>
      <c r="H83">
        <v>0.65765300000000004</v>
      </c>
      <c r="I83">
        <v>0.68107700000000004</v>
      </c>
      <c r="J83">
        <v>0.63872399999999996</v>
      </c>
      <c r="K83">
        <v>0.68507799999999996</v>
      </c>
      <c r="O83" t="s">
        <v>61</v>
      </c>
      <c r="P83">
        <v>0.641235</v>
      </c>
      <c r="Q83">
        <v>0.63872399999999996</v>
      </c>
      <c r="R83">
        <v>0.62347600000000003</v>
      </c>
      <c r="S83">
        <v>0.59726900000000005</v>
      </c>
      <c r="T83">
        <v>0.65765300000000004</v>
      </c>
      <c r="U83">
        <v>0.68507799999999996</v>
      </c>
      <c r="V83">
        <v>0.68107700000000004</v>
      </c>
      <c r="W83">
        <v>0.69120800000000004</v>
      </c>
      <c r="X83">
        <v>0.65070799999999995</v>
      </c>
    </row>
    <row r="84" spans="2:24" x14ac:dyDescent="0.25">
      <c r="B84" t="s">
        <v>62</v>
      </c>
      <c r="C84">
        <v>0.757552</v>
      </c>
      <c r="D84">
        <v>0.96379400000000004</v>
      </c>
      <c r="E84">
        <v>0.84612699999999996</v>
      </c>
      <c r="F84">
        <v>0.70001000000000002</v>
      </c>
      <c r="G84">
        <v>0.68155399999999999</v>
      </c>
      <c r="H84">
        <v>0.79796699999999998</v>
      </c>
      <c r="I84">
        <v>0.88741999999999999</v>
      </c>
      <c r="J84">
        <v>0.70007600000000003</v>
      </c>
      <c r="K84">
        <v>0.87272300000000003</v>
      </c>
      <c r="O84" t="s">
        <v>62</v>
      </c>
      <c r="P84">
        <v>0.757552</v>
      </c>
      <c r="Q84">
        <v>0.70007600000000003</v>
      </c>
      <c r="R84">
        <v>0.70001000000000002</v>
      </c>
      <c r="S84">
        <v>0.68155399999999999</v>
      </c>
      <c r="T84">
        <v>0.79796699999999998</v>
      </c>
      <c r="U84">
        <v>0.87272300000000003</v>
      </c>
      <c r="V84">
        <v>0.88741999999999999</v>
      </c>
      <c r="W84">
        <v>0.96379400000000004</v>
      </c>
      <c r="X84">
        <v>0.84612699999999996</v>
      </c>
    </row>
    <row r="85" spans="2:24" x14ac:dyDescent="0.25">
      <c r="B85" t="s">
        <v>63</v>
      </c>
      <c r="C85">
        <v>1.5243420000000001</v>
      </c>
      <c r="D85">
        <v>1.8862909999999999</v>
      </c>
      <c r="E85">
        <v>1.678639</v>
      </c>
      <c r="F85">
        <v>1.2670520000000001</v>
      </c>
      <c r="G85">
        <v>1.3314060000000001</v>
      </c>
      <c r="H85">
        <v>1.6196790000000001</v>
      </c>
      <c r="I85">
        <v>1.89286</v>
      </c>
      <c r="J85">
        <v>1.1337969999999999</v>
      </c>
      <c r="K85">
        <v>1.835351</v>
      </c>
      <c r="O85" t="s">
        <v>63</v>
      </c>
      <c r="P85">
        <v>1.5243420000000001</v>
      </c>
      <c r="Q85">
        <v>1.1337969999999999</v>
      </c>
      <c r="R85">
        <v>1.2670520000000001</v>
      </c>
      <c r="S85">
        <v>1.3314060000000001</v>
      </c>
      <c r="T85">
        <v>1.6196790000000001</v>
      </c>
      <c r="U85">
        <v>1.835351</v>
      </c>
      <c r="V85">
        <v>1.89286</v>
      </c>
      <c r="W85">
        <v>1.8862909999999999</v>
      </c>
      <c r="X85">
        <v>1.678639</v>
      </c>
    </row>
    <row r="86" spans="2:24" x14ac:dyDescent="0.25">
      <c r="B86" t="s">
        <v>64</v>
      </c>
      <c r="C86">
        <v>0.99250899999999997</v>
      </c>
      <c r="D86">
        <v>1.25183</v>
      </c>
      <c r="E86">
        <v>1.111567</v>
      </c>
      <c r="F86">
        <v>0.95191400000000004</v>
      </c>
      <c r="G86">
        <v>0.92410800000000004</v>
      </c>
      <c r="H86">
        <v>1.0148870000000001</v>
      </c>
      <c r="I86">
        <v>1.0377970000000001</v>
      </c>
      <c r="J86">
        <v>1.003404</v>
      </c>
      <c r="K86">
        <v>1.041221</v>
      </c>
      <c r="O86" t="s">
        <v>64</v>
      </c>
      <c r="P86">
        <v>0.99250899999999997</v>
      </c>
      <c r="Q86">
        <v>1.003404</v>
      </c>
      <c r="R86">
        <v>0.95191400000000004</v>
      </c>
      <c r="S86">
        <v>0.92410800000000004</v>
      </c>
      <c r="T86">
        <v>1.0148870000000001</v>
      </c>
      <c r="U86">
        <v>1.041221</v>
      </c>
      <c r="V86">
        <v>1.0377970000000001</v>
      </c>
      <c r="W86">
        <v>1.25183</v>
      </c>
      <c r="X86">
        <v>1.111567</v>
      </c>
    </row>
    <row r="87" spans="2:24" x14ac:dyDescent="0.25">
      <c r="B87" t="s">
        <v>65</v>
      </c>
      <c r="C87">
        <v>0.43931599999999998</v>
      </c>
      <c r="D87">
        <v>0.56653200000000004</v>
      </c>
      <c r="E87">
        <v>0.49608799999999997</v>
      </c>
      <c r="F87">
        <v>0.387378</v>
      </c>
      <c r="G87">
        <v>0.388459</v>
      </c>
      <c r="H87">
        <v>0.46356399999999998</v>
      </c>
      <c r="I87">
        <v>0.52581100000000003</v>
      </c>
      <c r="J87">
        <v>0.37803100000000001</v>
      </c>
      <c r="K87">
        <v>0.51120699999999997</v>
      </c>
      <c r="O87" t="s">
        <v>65</v>
      </c>
      <c r="P87">
        <v>0.43931599999999998</v>
      </c>
      <c r="Q87">
        <v>0.37803100000000001</v>
      </c>
      <c r="R87">
        <v>0.387378</v>
      </c>
      <c r="S87">
        <v>0.388459</v>
      </c>
      <c r="T87">
        <v>0.46356399999999998</v>
      </c>
      <c r="U87">
        <v>0.51120699999999997</v>
      </c>
      <c r="V87">
        <v>0.52581100000000003</v>
      </c>
      <c r="W87">
        <v>0.56653200000000004</v>
      </c>
      <c r="X87">
        <v>0.49608799999999997</v>
      </c>
    </row>
    <row r="88" spans="2:24" x14ac:dyDescent="0.25">
      <c r="B88" t="s">
        <v>66</v>
      </c>
      <c r="C88">
        <v>0.79862699999999998</v>
      </c>
      <c r="D88">
        <v>0.93074299999999999</v>
      </c>
      <c r="E88">
        <v>0.84534600000000004</v>
      </c>
      <c r="F88">
        <v>0.75197800000000004</v>
      </c>
      <c r="G88">
        <v>0.73463199999999995</v>
      </c>
      <c r="H88">
        <v>0.80608500000000005</v>
      </c>
      <c r="I88">
        <v>0.85773600000000005</v>
      </c>
      <c r="J88">
        <v>0.73970000000000002</v>
      </c>
      <c r="K88">
        <v>0.85421599999999998</v>
      </c>
      <c r="O88" t="s">
        <v>66</v>
      </c>
      <c r="P88">
        <v>0.79862699999999998</v>
      </c>
      <c r="Q88">
        <v>0.73970000000000002</v>
      </c>
      <c r="R88">
        <v>0.75197800000000004</v>
      </c>
      <c r="S88">
        <v>0.73463199999999995</v>
      </c>
      <c r="T88">
        <v>0.80608500000000005</v>
      </c>
      <c r="U88">
        <v>0.85421599999999998</v>
      </c>
      <c r="V88">
        <v>0.85773600000000005</v>
      </c>
      <c r="W88">
        <v>0.93074299999999999</v>
      </c>
      <c r="X88">
        <v>0.84534600000000004</v>
      </c>
    </row>
    <row r="89" spans="2:24" x14ac:dyDescent="0.25">
      <c r="B89" t="s">
        <v>67</v>
      </c>
      <c r="C89">
        <v>0.56775100000000001</v>
      </c>
      <c r="D89">
        <v>0.611313</v>
      </c>
      <c r="E89">
        <v>0.57434200000000002</v>
      </c>
      <c r="F89">
        <v>0.54361400000000004</v>
      </c>
      <c r="G89">
        <v>0.533219</v>
      </c>
      <c r="H89">
        <v>0.59416999999999998</v>
      </c>
      <c r="I89">
        <v>0.61728700000000003</v>
      </c>
      <c r="J89">
        <v>0.52229400000000004</v>
      </c>
      <c r="K89">
        <v>0.62818600000000002</v>
      </c>
      <c r="O89" t="s">
        <v>67</v>
      </c>
      <c r="P89">
        <v>0.56775100000000001</v>
      </c>
      <c r="Q89">
        <v>0.52229400000000004</v>
      </c>
      <c r="R89">
        <v>0.54361400000000004</v>
      </c>
      <c r="S89">
        <v>0.533219</v>
      </c>
      <c r="T89">
        <v>0.59416999999999998</v>
      </c>
      <c r="U89">
        <v>0.62818600000000002</v>
      </c>
      <c r="V89">
        <v>0.61728700000000003</v>
      </c>
      <c r="W89">
        <v>0.611313</v>
      </c>
      <c r="X89">
        <v>0.57434200000000002</v>
      </c>
    </row>
    <row r="90" spans="2:24" x14ac:dyDescent="0.25">
      <c r="B90" t="s">
        <v>68</v>
      </c>
      <c r="C90">
        <v>1.3663780000000001</v>
      </c>
      <c r="D90">
        <v>1.5420560000000001</v>
      </c>
      <c r="E90">
        <v>1.4196880000000001</v>
      </c>
      <c r="F90">
        <v>1.295593</v>
      </c>
      <c r="G90">
        <v>1.2678510000000001</v>
      </c>
      <c r="H90">
        <v>1.400255</v>
      </c>
      <c r="I90">
        <v>1.475023</v>
      </c>
      <c r="J90">
        <v>1.2619940000000001</v>
      </c>
      <c r="K90">
        <v>1.482402</v>
      </c>
      <c r="O90" t="s">
        <v>68</v>
      </c>
      <c r="P90">
        <v>1.3663780000000001</v>
      </c>
      <c r="Q90">
        <v>1.2619940000000001</v>
      </c>
      <c r="R90">
        <v>1.295593</v>
      </c>
      <c r="S90">
        <v>1.2678510000000001</v>
      </c>
      <c r="T90">
        <v>1.400255</v>
      </c>
      <c r="U90">
        <v>1.482402</v>
      </c>
      <c r="V90">
        <v>1.475023</v>
      </c>
      <c r="W90">
        <v>1.5420560000000001</v>
      </c>
      <c r="X90">
        <v>1.4196880000000001</v>
      </c>
    </row>
    <row r="91" spans="2:24" x14ac:dyDescent="0.25">
      <c r="B91" t="s">
        <v>69</v>
      </c>
      <c r="C91">
        <v>9.0116879999999995</v>
      </c>
      <c r="D91">
        <v>5.5003070000000003</v>
      </c>
      <c r="E91">
        <v>6.9883790000000001</v>
      </c>
      <c r="F91">
        <v>12.504578</v>
      </c>
      <c r="G91">
        <v>12.249155999999999</v>
      </c>
      <c r="H91">
        <v>10.078431</v>
      </c>
      <c r="I91">
        <v>6.9724139999999997</v>
      </c>
      <c r="J91">
        <v>13.012169</v>
      </c>
      <c r="K91">
        <v>8.0564160000000005</v>
      </c>
      <c r="O91" t="s">
        <v>69</v>
      </c>
      <c r="P91">
        <v>9.0116879999999995</v>
      </c>
      <c r="Q91">
        <v>13.012169</v>
      </c>
      <c r="R91">
        <v>12.504578</v>
      </c>
      <c r="S91">
        <v>12.249155999999999</v>
      </c>
      <c r="T91">
        <v>10.078431</v>
      </c>
      <c r="U91">
        <v>8.0564160000000005</v>
      </c>
      <c r="V91">
        <v>6.9724139999999997</v>
      </c>
      <c r="W91">
        <v>5.5003070000000003</v>
      </c>
      <c r="X91">
        <v>6.9883790000000001</v>
      </c>
    </row>
    <row r="92" spans="2:24" x14ac:dyDescent="0.25">
      <c r="B92" t="s">
        <v>71</v>
      </c>
      <c r="C92">
        <v>3.7466179999999998</v>
      </c>
      <c r="D92">
        <v>2.5201539999999998</v>
      </c>
      <c r="E92">
        <v>3.1045210000000001</v>
      </c>
      <c r="F92">
        <v>5.3212729999999997</v>
      </c>
      <c r="G92">
        <v>5.2145570000000001</v>
      </c>
      <c r="H92">
        <v>4.3805120000000004</v>
      </c>
      <c r="I92">
        <v>2.951028</v>
      </c>
      <c r="J92">
        <v>5.4175969999999998</v>
      </c>
      <c r="K92">
        <v>3.4688780000000001</v>
      </c>
      <c r="O92" t="s">
        <v>71</v>
      </c>
      <c r="P92">
        <v>3.7466179999999998</v>
      </c>
      <c r="Q92">
        <v>5.4175969999999998</v>
      </c>
      <c r="R92">
        <v>5.3212729999999997</v>
      </c>
      <c r="S92">
        <v>5.2145570000000001</v>
      </c>
      <c r="T92">
        <v>4.3805120000000004</v>
      </c>
      <c r="U92">
        <v>3.4688780000000001</v>
      </c>
      <c r="V92">
        <v>2.951028</v>
      </c>
      <c r="W92">
        <v>2.5201539999999998</v>
      </c>
      <c r="X92">
        <v>3.1045210000000001</v>
      </c>
    </row>
    <row r="93" spans="2:24" x14ac:dyDescent="0.25">
      <c r="B93" t="s">
        <v>73</v>
      </c>
      <c r="C93">
        <v>3.6138249999999998</v>
      </c>
      <c r="D93">
        <v>2.4137520000000001</v>
      </c>
      <c r="E93">
        <v>2.9766859999999999</v>
      </c>
      <c r="F93">
        <v>5.1578350000000004</v>
      </c>
      <c r="G93">
        <v>5.01607</v>
      </c>
      <c r="H93">
        <v>4.2019299999999999</v>
      </c>
      <c r="I93">
        <v>2.8425829999999999</v>
      </c>
      <c r="J93">
        <v>5.3005259999999996</v>
      </c>
      <c r="K93">
        <v>3.3349899999999999</v>
      </c>
      <c r="O93" t="s">
        <v>73</v>
      </c>
      <c r="P93">
        <v>3.6138249999999998</v>
      </c>
      <c r="Q93">
        <v>5.3005259999999996</v>
      </c>
      <c r="R93">
        <v>5.1578350000000004</v>
      </c>
      <c r="S93">
        <v>5.01607</v>
      </c>
      <c r="T93">
        <v>4.2019299999999999</v>
      </c>
      <c r="U93">
        <v>3.3349899999999999</v>
      </c>
      <c r="V93">
        <v>2.8425829999999999</v>
      </c>
      <c r="W93">
        <v>2.4137520000000001</v>
      </c>
      <c r="X93">
        <v>2.9766859999999999</v>
      </c>
    </row>
    <row r="94" spans="2:24" x14ac:dyDescent="0.25">
      <c r="B94" t="s">
        <v>74</v>
      </c>
      <c r="C94">
        <v>0.25402200000000003</v>
      </c>
      <c r="D94">
        <v>0.20905499999999999</v>
      </c>
      <c r="E94">
        <v>0.22706299999999999</v>
      </c>
      <c r="F94">
        <v>0.42490499999999998</v>
      </c>
      <c r="G94">
        <v>0.42648200000000003</v>
      </c>
      <c r="H94">
        <v>0.31756699999999999</v>
      </c>
      <c r="I94">
        <v>0.269237</v>
      </c>
      <c r="J94">
        <v>0.45384400000000003</v>
      </c>
      <c r="K94">
        <v>0.297628</v>
      </c>
      <c r="O94" t="s">
        <v>74</v>
      </c>
      <c r="P94">
        <v>0.25402200000000003</v>
      </c>
      <c r="Q94">
        <v>0.45384400000000003</v>
      </c>
      <c r="R94">
        <v>0.42490499999999998</v>
      </c>
      <c r="S94">
        <v>0.42648200000000003</v>
      </c>
      <c r="T94">
        <v>0.31756699999999999</v>
      </c>
      <c r="U94">
        <v>0.297628</v>
      </c>
      <c r="V94">
        <v>0.269237</v>
      </c>
      <c r="W94">
        <v>0.20905499999999999</v>
      </c>
      <c r="X94">
        <v>0.22706299999999999</v>
      </c>
    </row>
    <row r="95" spans="2:24" x14ac:dyDescent="0.25">
      <c r="B95" t="s">
        <v>75</v>
      </c>
      <c r="C95">
        <v>0.25036599999999998</v>
      </c>
      <c r="D95">
        <v>0.21394099999999999</v>
      </c>
      <c r="E95">
        <v>0.22712399999999999</v>
      </c>
      <c r="F95">
        <v>0.30092000000000002</v>
      </c>
      <c r="G95">
        <v>0.284192</v>
      </c>
      <c r="H95">
        <v>0.30056699999999997</v>
      </c>
      <c r="I95">
        <v>0.26058500000000001</v>
      </c>
      <c r="J95">
        <v>0.29961599999999999</v>
      </c>
      <c r="K95">
        <v>0.28316999999999998</v>
      </c>
      <c r="O95" t="s">
        <v>75</v>
      </c>
      <c r="P95">
        <v>0.25036599999999998</v>
      </c>
      <c r="Q95">
        <v>0.29961599999999999</v>
      </c>
      <c r="R95">
        <v>0.30092000000000002</v>
      </c>
      <c r="S95">
        <v>0.284192</v>
      </c>
      <c r="T95">
        <v>0.30056699999999997</v>
      </c>
      <c r="U95">
        <v>0.28316999999999998</v>
      </c>
      <c r="V95">
        <v>0.26058500000000001</v>
      </c>
      <c r="W95">
        <v>0.21394099999999999</v>
      </c>
      <c r="X95">
        <v>0.22712399999999999</v>
      </c>
    </row>
    <row r="96" spans="2:24" x14ac:dyDescent="0.25">
      <c r="B96" t="s">
        <v>76</v>
      </c>
      <c r="C96">
        <v>0.50438899999999998</v>
      </c>
      <c r="D96">
        <v>0.42299599999999998</v>
      </c>
      <c r="E96">
        <v>0.45418599999999998</v>
      </c>
      <c r="F96">
        <v>0.72582500000000005</v>
      </c>
      <c r="G96">
        <v>0.71067400000000003</v>
      </c>
      <c r="H96">
        <v>0.61813399999999996</v>
      </c>
      <c r="I96">
        <v>0.52982200000000002</v>
      </c>
      <c r="J96">
        <v>0.75346000000000002</v>
      </c>
      <c r="K96">
        <v>0.58079800000000004</v>
      </c>
      <c r="O96" t="s">
        <v>76</v>
      </c>
      <c r="P96">
        <v>0.50438899999999998</v>
      </c>
      <c r="Q96">
        <v>0.75346000000000002</v>
      </c>
      <c r="R96">
        <v>0.72582500000000005</v>
      </c>
      <c r="S96">
        <v>0.71067400000000003</v>
      </c>
      <c r="T96">
        <v>0.61813399999999996</v>
      </c>
      <c r="U96">
        <v>0.58079800000000004</v>
      </c>
      <c r="V96">
        <v>0.52982200000000002</v>
      </c>
      <c r="W96">
        <v>0.42299599999999998</v>
      </c>
      <c r="X96">
        <v>0.45418599999999998</v>
      </c>
    </row>
    <row r="97" spans="2:24" x14ac:dyDescent="0.25">
      <c r="B97" t="s">
        <v>77</v>
      </c>
      <c r="C97">
        <v>0.57770900000000003</v>
      </c>
      <c r="D97">
        <v>0.419155</v>
      </c>
      <c r="E97">
        <v>0.43827199999999999</v>
      </c>
      <c r="F97">
        <v>0.81082399999999999</v>
      </c>
      <c r="G97">
        <v>0.75167600000000001</v>
      </c>
      <c r="H97">
        <v>0.64486100000000002</v>
      </c>
      <c r="I97">
        <v>0.459594</v>
      </c>
      <c r="J97">
        <v>0.84676200000000001</v>
      </c>
      <c r="K97">
        <v>0.52316399999999996</v>
      </c>
      <c r="O97" t="s">
        <v>77</v>
      </c>
      <c r="P97">
        <v>0.57770900000000003</v>
      </c>
      <c r="Q97">
        <v>0.84676200000000001</v>
      </c>
      <c r="R97">
        <v>0.81082399999999999</v>
      </c>
      <c r="S97">
        <v>0.75167600000000001</v>
      </c>
      <c r="T97">
        <v>0.64486100000000002</v>
      </c>
      <c r="U97">
        <v>0.52316399999999996</v>
      </c>
      <c r="V97">
        <v>0.459594</v>
      </c>
      <c r="W97">
        <v>0.419155</v>
      </c>
      <c r="X97">
        <v>0.43827199999999999</v>
      </c>
    </row>
    <row r="98" spans="2:24" x14ac:dyDescent="0.25">
      <c r="B98" t="s">
        <v>78</v>
      </c>
      <c r="C98">
        <v>0.15325</v>
      </c>
      <c r="D98">
        <v>0.11421000000000001</v>
      </c>
      <c r="E98">
        <v>0.12923799999999999</v>
      </c>
      <c r="F98">
        <v>0.24951599999999999</v>
      </c>
      <c r="G98">
        <v>0.22833000000000001</v>
      </c>
      <c r="H98">
        <v>0.187252</v>
      </c>
      <c r="I98">
        <v>0.13228100000000001</v>
      </c>
      <c r="J98">
        <v>0.26008300000000001</v>
      </c>
      <c r="K98">
        <v>0.15124899999999999</v>
      </c>
      <c r="O98" t="s">
        <v>78</v>
      </c>
      <c r="P98">
        <v>0.15325</v>
      </c>
      <c r="Q98">
        <v>0.26008300000000001</v>
      </c>
      <c r="R98">
        <v>0.24951599999999999</v>
      </c>
      <c r="S98">
        <v>0.22833000000000001</v>
      </c>
      <c r="T98">
        <v>0.187252</v>
      </c>
      <c r="U98">
        <v>0.15124899999999999</v>
      </c>
      <c r="V98">
        <v>0.13228100000000001</v>
      </c>
      <c r="W98">
        <v>0.11421000000000001</v>
      </c>
      <c r="X98">
        <v>0.12923799999999999</v>
      </c>
    </row>
    <row r="99" spans="2:24" x14ac:dyDescent="0.25">
      <c r="B99" t="s">
        <v>79</v>
      </c>
      <c r="C99">
        <v>0.57786099999999996</v>
      </c>
      <c r="D99">
        <v>0.380185</v>
      </c>
      <c r="E99">
        <v>0.454739</v>
      </c>
      <c r="F99">
        <v>0.77963099999999996</v>
      </c>
      <c r="G99">
        <v>0.73160400000000003</v>
      </c>
      <c r="H99">
        <v>0.66281100000000004</v>
      </c>
      <c r="I99">
        <v>0.47487499999999999</v>
      </c>
      <c r="J99">
        <v>0.83111900000000005</v>
      </c>
      <c r="K99">
        <v>0.55192699999999995</v>
      </c>
      <c r="O99" t="s">
        <v>79</v>
      </c>
      <c r="P99">
        <v>0.57786099999999996</v>
      </c>
      <c r="Q99">
        <v>0.83111900000000005</v>
      </c>
      <c r="R99">
        <v>0.77963099999999996</v>
      </c>
      <c r="S99">
        <v>0.73160400000000003</v>
      </c>
      <c r="T99">
        <v>0.66281100000000004</v>
      </c>
      <c r="U99">
        <v>0.55192699999999995</v>
      </c>
      <c r="V99">
        <v>0.47487499999999999</v>
      </c>
      <c r="W99">
        <v>0.380185</v>
      </c>
      <c r="X99">
        <v>0.454739</v>
      </c>
    </row>
    <row r="100" spans="2:24" x14ac:dyDescent="0.25">
      <c r="B100" t="s">
        <v>80</v>
      </c>
      <c r="C100">
        <v>0.68268300000000004</v>
      </c>
      <c r="D100">
        <v>0.53011600000000003</v>
      </c>
      <c r="E100">
        <v>0.59130499999999997</v>
      </c>
      <c r="F100">
        <v>0.87533300000000003</v>
      </c>
      <c r="G100">
        <v>0.83484599999999998</v>
      </c>
      <c r="H100">
        <v>0.804226</v>
      </c>
      <c r="I100">
        <v>0.61874600000000002</v>
      </c>
      <c r="J100">
        <v>0.91095000000000004</v>
      </c>
      <c r="K100">
        <v>0.703102</v>
      </c>
      <c r="O100" t="s">
        <v>80</v>
      </c>
      <c r="P100">
        <v>0.68268300000000004</v>
      </c>
      <c r="Q100">
        <v>0.91095000000000004</v>
      </c>
      <c r="R100">
        <v>0.87533300000000003</v>
      </c>
      <c r="S100">
        <v>0.83484599999999998</v>
      </c>
      <c r="T100">
        <v>0.804226</v>
      </c>
      <c r="U100">
        <v>0.703102</v>
      </c>
      <c r="V100">
        <v>0.61874600000000002</v>
      </c>
      <c r="W100">
        <v>0.53011600000000003</v>
      </c>
      <c r="X100">
        <v>0.59130499999999997</v>
      </c>
    </row>
    <row r="101" spans="2:24" x14ac:dyDescent="0.25">
      <c r="B101" t="s">
        <v>81</v>
      </c>
      <c r="C101">
        <v>1.3736889999999999</v>
      </c>
      <c r="D101">
        <v>1.0375179999999999</v>
      </c>
      <c r="E101">
        <v>1.1730959999999999</v>
      </c>
      <c r="F101">
        <v>1.584395</v>
      </c>
      <c r="G101">
        <v>1.63086</v>
      </c>
      <c r="H101">
        <v>1.6323829999999999</v>
      </c>
      <c r="I101">
        <v>1.31978</v>
      </c>
      <c r="J101">
        <v>1.4753160000000001</v>
      </c>
      <c r="K101">
        <v>1.4786349999999999</v>
      </c>
      <c r="O101" t="s">
        <v>81</v>
      </c>
      <c r="P101">
        <v>1.3736889999999999</v>
      </c>
      <c r="Q101">
        <v>1.4753160000000001</v>
      </c>
      <c r="R101">
        <v>1.584395</v>
      </c>
      <c r="S101">
        <v>1.63086</v>
      </c>
      <c r="T101">
        <v>1.6323829999999999</v>
      </c>
      <c r="U101">
        <v>1.4786349999999999</v>
      </c>
      <c r="V101">
        <v>1.31978</v>
      </c>
      <c r="W101">
        <v>1.0375179999999999</v>
      </c>
      <c r="X101">
        <v>1.1730959999999999</v>
      </c>
    </row>
    <row r="102" spans="2:24" x14ac:dyDescent="0.25">
      <c r="B102" t="s">
        <v>185</v>
      </c>
      <c r="C102">
        <v>0.89441899999999996</v>
      </c>
      <c r="D102">
        <v>0.68854499999999996</v>
      </c>
      <c r="E102">
        <v>0.77680499999999997</v>
      </c>
      <c r="F102">
        <v>1.190329</v>
      </c>
      <c r="G102">
        <v>1.1319539999999999</v>
      </c>
      <c r="H102">
        <v>1.0228470000000001</v>
      </c>
      <c r="I102">
        <v>0.72359499999999999</v>
      </c>
      <c r="J102">
        <v>1.3056460000000001</v>
      </c>
      <c r="K102">
        <v>0.83885100000000001</v>
      </c>
      <c r="O102" t="s">
        <v>185</v>
      </c>
      <c r="P102">
        <v>0.89441899999999996</v>
      </c>
      <c r="Q102">
        <v>1.3056460000000001</v>
      </c>
      <c r="R102">
        <v>1.190329</v>
      </c>
      <c r="S102">
        <v>1.1319539999999999</v>
      </c>
      <c r="T102">
        <v>1.0228470000000001</v>
      </c>
      <c r="U102">
        <v>0.83885100000000001</v>
      </c>
      <c r="V102">
        <v>0.72359499999999999</v>
      </c>
      <c r="W102">
        <v>0.68854499999999996</v>
      </c>
      <c r="X102">
        <v>0.77680499999999997</v>
      </c>
    </row>
    <row r="103" spans="2:24" x14ac:dyDescent="0.25">
      <c r="B103" t="s">
        <v>186</v>
      </c>
      <c r="C103">
        <v>0.39589800000000003</v>
      </c>
      <c r="D103">
        <v>0.31161</v>
      </c>
      <c r="E103">
        <v>0.34668500000000002</v>
      </c>
      <c r="F103">
        <v>0.4844</v>
      </c>
      <c r="G103">
        <v>0.47582999999999998</v>
      </c>
      <c r="H103">
        <v>0.4672</v>
      </c>
      <c r="I103">
        <v>0.36661700000000003</v>
      </c>
      <c r="J103">
        <v>0.4919</v>
      </c>
      <c r="K103">
        <v>0.41184999999999999</v>
      </c>
      <c r="O103" t="s">
        <v>186</v>
      </c>
      <c r="P103">
        <v>0.39589800000000003</v>
      </c>
      <c r="Q103">
        <v>0.4919</v>
      </c>
      <c r="R103">
        <v>0.4844</v>
      </c>
      <c r="S103">
        <v>0.47582999999999998</v>
      </c>
      <c r="T103">
        <v>0.4672</v>
      </c>
      <c r="U103">
        <v>0.41184999999999999</v>
      </c>
      <c r="V103">
        <v>0.36661700000000003</v>
      </c>
      <c r="W103">
        <v>0.31161</v>
      </c>
      <c r="X103">
        <v>0.34668500000000002</v>
      </c>
    </row>
    <row r="104" spans="2:24" x14ac:dyDescent="0.25">
      <c r="B104" t="s">
        <v>187</v>
      </c>
      <c r="C104">
        <v>0.71969799999999995</v>
      </c>
      <c r="D104">
        <v>0.51193699999999998</v>
      </c>
      <c r="E104">
        <v>0.59075999999999995</v>
      </c>
      <c r="F104">
        <v>0.94031699999999996</v>
      </c>
      <c r="G104">
        <v>0.89986200000000005</v>
      </c>
      <c r="H104">
        <v>0.81240699999999999</v>
      </c>
      <c r="I104">
        <v>0.59804900000000005</v>
      </c>
      <c r="J104">
        <v>0.96250999999999998</v>
      </c>
      <c r="K104">
        <v>0.68819200000000003</v>
      </c>
      <c r="O104" t="s">
        <v>187</v>
      </c>
      <c r="P104">
        <v>0.71969799999999995</v>
      </c>
      <c r="Q104">
        <v>0.96250999999999998</v>
      </c>
      <c r="R104">
        <v>0.94031699999999996</v>
      </c>
      <c r="S104">
        <v>0.89986200000000005</v>
      </c>
      <c r="T104">
        <v>0.81240699999999999</v>
      </c>
      <c r="U104">
        <v>0.68819200000000003</v>
      </c>
      <c r="V104">
        <v>0.59804900000000005</v>
      </c>
      <c r="W104">
        <v>0.51193699999999998</v>
      </c>
      <c r="X104">
        <v>0.59075999999999995</v>
      </c>
    </row>
    <row r="105" spans="2:24" x14ac:dyDescent="0.25">
      <c r="B105" t="s">
        <v>188</v>
      </c>
      <c r="C105">
        <v>0.51163999999999998</v>
      </c>
      <c r="D105">
        <v>0.33624100000000001</v>
      </c>
      <c r="E105">
        <v>0.40137200000000001</v>
      </c>
      <c r="F105">
        <v>0.67976700000000001</v>
      </c>
      <c r="G105">
        <v>0.65314799999999995</v>
      </c>
      <c r="H105">
        <v>0.598831</v>
      </c>
      <c r="I105">
        <v>0.430398</v>
      </c>
      <c r="J105">
        <v>0.67961700000000003</v>
      </c>
      <c r="K105">
        <v>0.50609300000000002</v>
      </c>
      <c r="O105" t="s">
        <v>188</v>
      </c>
      <c r="P105">
        <v>0.51163999999999998</v>
      </c>
      <c r="Q105">
        <v>0.67961700000000003</v>
      </c>
      <c r="R105">
        <v>0.67976700000000001</v>
      </c>
      <c r="S105">
        <v>0.65314799999999995</v>
      </c>
      <c r="T105">
        <v>0.598831</v>
      </c>
      <c r="U105">
        <v>0.50609300000000002</v>
      </c>
      <c r="V105">
        <v>0.430398</v>
      </c>
      <c r="W105">
        <v>0.33624100000000001</v>
      </c>
      <c r="X105">
        <v>0.40137200000000001</v>
      </c>
    </row>
    <row r="106" spans="2:24" x14ac:dyDescent="0.25">
      <c r="B106" t="s">
        <v>189</v>
      </c>
      <c r="C106">
        <v>1.2313369999999999</v>
      </c>
      <c r="D106">
        <v>0.84817799999999999</v>
      </c>
      <c r="E106">
        <v>0.99213200000000001</v>
      </c>
      <c r="F106">
        <v>1.6200840000000001</v>
      </c>
      <c r="G106">
        <v>1.55301</v>
      </c>
      <c r="H106">
        <v>1.411238</v>
      </c>
      <c r="I106">
        <v>1.0284469999999999</v>
      </c>
      <c r="J106">
        <v>1.642128</v>
      </c>
      <c r="K106">
        <v>1.194285</v>
      </c>
      <c r="O106" t="s">
        <v>189</v>
      </c>
      <c r="P106">
        <v>1.2313369999999999</v>
      </c>
      <c r="Q106">
        <v>1.642128</v>
      </c>
      <c r="R106">
        <v>1.6200840000000001</v>
      </c>
      <c r="S106">
        <v>1.55301</v>
      </c>
      <c r="T106">
        <v>1.411238</v>
      </c>
      <c r="U106">
        <v>1.194285</v>
      </c>
      <c r="V106">
        <v>1.0284469999999999</v>
      </c>
      <c r="W106">
        <v>0.84817799999999999</v>
      </c>
      <c r="X106">
        <v>0.99213200000000001</v>
      </c>
    </row>
    <row r="107" spans="2:24" x14ac:dyDescent="0.25">
      <c r="B107" t="s">
        <v>82</v>
      </c>
      <c r="C107">
        <v>150</v>
      </c>
      <c r="D107">
        <v>150</v>
      </c>
      <c r="E107">
        <v>150</v>
      </c>
      <c r="F107">
        <v>150</v>
      </c>
      <c r="G107">
        <v>150</v>
      </c>
      <c r="H107">
        <v>100</v>
      </c>
      <c r="I107">
        <v>100</v>
      </c>
      <c r="J107">
        <v>150</v>
      </c>
      <c r="K107">
        <v>100</v>
      </c>
      <c r="O107" t="s">
        <v>82</v>
      </c>
      <c r="P107">
        <v>150</v>
      </c>
      <c r="Q107">
        <v>150</v>
      </c>
      <c r="R107">
        <v>150</v>
      </c>
      <c r="S107">
        <v>150</v>
      </c>
      <c r="T107">
        <v>100</v>
      </c>
      <c r="U107">
        <v>100</v>
      </c>
      <c r="V107">
        <v>100</v>
      </c>
      <c r="W107">
        <v>150</v>
      </c>
      <c r="X107">
        <v>150</v>
      </c>
    </row>
    <row r="108" spans="2:24" x14ac:dyDescent="0.25">
      <c r="B108" t="s">
        <v>84</v>
      </c>
      <c r="C108">
        <v>15</v>
      </c>
      <c r="D108">
        <v>15</v>
      </c>
      <c r="E108">
        <v>115.8</v>
      </c>
      <c r="F108">
        <v>120.8</v>
      </c>
      <c r="G108">
        <v>120.8</v>
      </c>
      <c r="H108">
        <v>115.8</v>
      </c>
      <c r="I108">
        <v>15</v>
      </c>
      <c r="J108">
        <v>120.8</v>
      </c>
      <c r="K108">
        <v>115.8</v>
      </c>
      <c r="O108" t="s">
        <v>84</v>
      </c>
      <c r="P108">
        <v>15</v>
      </c>
      <c r="Q108">
        <v>120.8</v>
      </c>
      <c r="R108">
        <v>120.8</v>
      </c>
      <c r="S108">
        <v>120.8</v>
      </c>
      <c r="T108">
        <v>115.8</v>
      </c>
      <c r="U108">
        <v>115.8</v>
      </c>
      <c r="V108">
        <v>15</v>
      </c>
      <c r="W108">
        <v>15</v>
      </c>
      <c r="X108">
        <v>115.8</v>
      </c>
    </row>
    <row r="109" spans="2:24" x14ac:dyDescent="0.25">
      <c r="B109" t="s">
        <v>85</v>
      </c>
      <c r="C109">
        <v>120</v>
      </c>
      <c r="D109">
        <v>120</v>
      </c>
      <c r="E109">
        <v>120</v>
      </c>
      <c r="F109">
        <v>2310</v>
      </c>
      <c r="G109">
        <v>150</v>
      </c>
      <c r="H109">
        <v>100</v>
      </c>
      <c r="I109">
        <v>100</v>
      </c>
      <c r="J109">
        <v>2310</v>
      </c>
      <c r="K109">
        <v>100</v>
      </c>
      <c r="O109" t="s">
        <v>85</v>
      </c>
      <c r="P109">
        <v>120</v>
      </c>
      <c r="Q109">
        <v>2310</v>
      </c>
      <c r="R109">
        <v>2310</v>
      </c>
      <c r="S109">
        <v>150</v>
      </c>
      <c r="T109">
        <v>100</v>
      </c>
      <c r="U109">
        <v>100</v>
      </c>
      <c r="V109">
        <v>100</v>
      </c>
      <c r="W109">
        <v>120</v>
      </c>
      <c r="X109">
        <v>120</v>
      </c>
    </row>
    <row r="110" spans="2:24" x14ac:dyDescent="0.25">
      <c r="B110" t="s">
        <v>86</v>
      </c>
      <c r="C110">
        <v>40.000500000000002</v>
      </c>
      <c r="D110">
        <v>40.000500000000002</v>
      </c>
      <c r="E110">
        <v>40.000500000000002</v>
      </c>
      <c r="F110">
        <v>40</v>
      </c>
      <c r="G110">
        <v>40</v>
      </c>
      <c r="H110">
        <v>40</v>
      </c>
      <c r="I110">
        <v>40</v>
      </c>
      <c r="J110">
        <v>40</v>
      </c>
      <c r="K110">
        <v>40</v>
      </c>
      <c r="O110" t="s">
        <v>86</v>
      </c>
      <c r="P110">
        <v>40.000500000000002</v>
      </c>
      <c r="Q110">
        <v>40</v>
      </c>
      <c r="R110">
        <v>40</v>
      </c>
      <c r="S110">
        <v>40</v>
      </c>
      <c r="T110">
        <v>40</v>
      </c>
      <c r="U110">
        <v>40</v>
      </c>
      <c r="V110">
        <v>40</v>
      </c>
      <c r="W110">
        <v>40.000500000000002</v>
      </c>
      <c r="X110">
        <v>40.000500000000002</v>
      </c>
    </row>
    <row r="111" spans="2:24" x14ac:dyDescent="0.25">
      <c r="B111" t="s">
        <v>87</v>
      </c>
      <c r="C111">
        <v>0.3</v>
      </c>
      <c r="D111">
        <v>0.3</v>
      </c>
      <c r="E111">
        <v>0.3</v>
      </c>
      <c r="F111">
        <v>0.3</v>
      </c>
      <c r="G111">
        <v>0.3</v>
      </c>
      <c r="H111">
        <v>0.3</v>
      </c>
      <c r="I111">
        <v>0.3</v>
      </c>
      <c r="J111">
        <v>0.3</v>
      </c>
      <c r="K111">
        <v>0.3</v>
      </c>
      <c r="O111" t="s">
        <v>87</v>
      </c>
      <c r="P111">
        <v>0.3</v>
      </c>
      <c r="Q111">
        <v>0.3</v>
      </c>
      <c r="R111">
        <v>0.3</v>
      </c>
      <c r="S111">
        <v>0.3</v>
      </c>
      <c r="T111">
        <v>0.3</v>
      </c>
      <c r="U111">
        <v>0.3</v>
      </c>
      <c r="V111">
        <v>0.3</v>
      </c>
      <c r="W111">
        <v>0.3</v>
      </c>
      <c r="X111">
        <v>0.3</v>
      </c>
    </row>
    <row r="112" spans="2:24" x14ac:dyDescent="0.25">
      <c r="B112" t="s">
        <v>88</v>
      </c>
      <c r="C112">
        <v>1.0004999999999999</v>
      </c>
      <c r="D112">
        <v>1.0004999999999999</v>
      </c>
      <c r="E112">
        <v>1.0004999999999999</v>
      </c>
      <c r="F112">
        <v>1</v>
      </c>
      <c r="G112">
        <v>1</v>
      </c>
      <c r="H112">
        <v>1</v>
      </c>
      <c r="I112">
        <v>1</v>
      </c>
      <c r="J112">
        <v>1</v>
      </c>
      <c r="K112">
        <v>1</v>
      </c>
      <c r="O112" t="s">
        <v>88</v>
      </c>
      <c r="P112">
        <v>1.0004999999999999</v>
      </c>
      <c r="Q112">
        <v>1</v>
      </c>
      <c r="R112">
        <v>1</v>
      </c>
      <c r="S112">
        <v>1</v>
      </c>
      <c r="T112">
        <v>1</v>
      </c>
      <c r="U112">
        <v>1</v>
      </c>
      <c r="V112">
        <v>1</v>
      </c>
      <c r="W112">
        <v>1.0004999999999999</v>
      </c>
      <c r="X112">
        <v>1.0004999999999999</v>
      </c>
    </row>
    <row r="113" spans="2:24" x14ac:dyDescent="0.25">
      <c r="B113" t="s">
        <v>89</v>
      </c>
      <c r="C113">
        <v>12000</v>
      </c>
      <c r="D113">
        <v>12000</v>
      </c>
      <c r="E113">
        <v>12000</v>
      </c>
      <c r="F113">
        <v>12000</v>
      </c>
      <c r="G113">
        <v>12000</v>
      </c>
      <c r="H113">
        <v>8000</v>
      </c>
      <c r="I113">
        <v>8000</v>
      </c>
      <c r="J113">
        <v>12000</v>
      </c>
      <c r="K113">
        <v>8000</v>
      </c>
      <c r="O113" t="s">
        <v>89</v>
      </c>
      <c r="P113">
        <v>12000</v>
      </c>
      <c r="Q113">
        <v>12000</v>
      </c>
      <c r="R113">
        <v>12000</v>
      </c>
      <c r="S113">
        <v>12000</v>
      </c>
      <c r="T113">
        <v>8000</v>
      </c>
      <c r="U113">
        <v>8000</v>
      </c>
      <c r="V113">
        <v>8000</v>
      </c>
      <c r="W113">
        <v>12000</v>
      </c>
      <c r="X113">
        <v>12000</v>
      </c>
    </row>
    <row r="114" spans="2:24" x14ac:dyDescent="0.25">
      <c r="B114" t="s">
        <v>91</v>
      </c>
      <c r="C114">
        <v>1500</v>
      </c>
      <c r="D114">
        <v>1500</v>
      </c>
      <c r="E114">
        <v>1500</v>
      </c>
      <c r="F114">
        <v>1500</v>
      </c>
      <c r="G114">
        <v>1500</v>
      </c>
      <c r="H114">
        <v>1500</v>
      </c>
      <c r="I114">
        <v>1500</v>
      </c>
      <c r="J114">
        <v>1500</v>
      </c>
      <c r="K114">
        <v>1500</v>
      </c>
      <c r="O114" t="s">
        <v>91</v>
      </c>
      <c r="P114">
        <v>1500</v>
      </c>
      <c r="Q114">
        <v>1500</v>
      </c>
      <c r="R114">
        <v>1500</v>
      </c>
      <c r="S114">
        <v>1500</v>
      </c>
      <c r="T114">
        <v>1500</v>
      </c>
      <c r="U114">
        <v>1500</v>
      </c>
      <c r="V114">
        <v>1500</v>
      </c>
      <c r="W114">
        <v>1500</v>
      </c>
      <c r="X114">
        <v>1500</v>
      </c>
    </row>
    <row r="115" spans="2:24" x14ac:dyDescent="0.25">
      <c r="B115" t="s">
        <v>92</v>
      </c>
      <c r="C115">
        <v>49.999499999999998</v>
      </c>
      <c r="D115">
        <v>49.999499999999998</v>
      </c>
      <c r="E115">
        <v>49.999499999999998</v>
      </c>
      <c r="F115">
        <v>70</v>
      </c>
      <c r="G115">
        <v>70</v>
      </c>
      <c r="H115">
        <v>30</v>
      </c>
      <c r="I115">
        <v>30</v>
      </c>
      <c r="J115">
        <v>70</v>
      </c>
      <c r="K115">
        <v>30</v>
      </c>
      <c r="O115" t="s">
        <v>92</v>
      </c>
      <c r="P115">
        <v>49.999499999999998</v>
      </c>
      <c r="Q115">
        <v>70</v>
      </c>
      <c r="R115">
        <v>70</v>
      </c>
      <c r="S115">
        <v>70</v>
      </c>
      <c r="T115">
        <v>30</v>
      </c>
      <c r="U115">
        <v>30</v>
      </c>
      <c r="V115">
        <v>30</v>
      </c>
      <c r="W115">
        <v>49.999499999999998</v>
      </c>
      <c r="X115">
        <v>49.999499999999998</v>
      </c>
    </row>
    <row r="116" spans="2:24" x14ac:dyDescent="0.25">
      <c r="B116" t="s">
        <v>93</v>
      </c>
      <c r="C116">
        <v>4.5</v>
      </c>
      <c r="D116">
        <v>4.5</v>
      </c>
      <c r="E116">
        <v>4.5</v>
      </c>
      <c r="F116">
        <v>5</v>
      </c>
      <c r="G116">
        <v>5</v>
      </c>
      <c r="H116">
        <v>2</v>
      </c>
      <c r="I116">
        <v>2</v>
      </c>
      <c r="J116">
        <v>5</v>
      </c>
      <c r="K116">
        <v>2</v>
      </c>
      <c r="O116" t="s">
        <v>93</v>
      </c>
      <c r="P116">
        <v>4.5</v>
      </c>
      <c r="Q116">
        <v>5</v>
      </c>
      <c r="R116">
        <v>5</v>
      </c>
      <c r="S116">
        <v>5</v>
      </c>
      <c r="T116">
        <v>2</v>
      </c>
      <c r="U116">
        <v>2</v>
      </c>
      <c r="V116">
        <v>2</v>
      </c>
      <c r="W116">
        <v>4.5</v>
      </c>
      <c r="X116">
        <v>4.5</v>
      </c>
    </row>
    <row r="117" spans="2:24" x14ac:dyDescent="0.25">
      <c r="B117" t="s">
        <v>94</v>
      </c>
      <c r="C117">
        <v>1.0004999999999999</v>
      </c>
      <c r="D117">
        <v>1.0004999999999999</v>
      </c>
      <c r="E117">
        <v>1.0004999999999999</v>
      </c>
      <c r="F117">
        <v>2</v>
      </c>
      <c r="G117">
        <v>2</v>
      </c>
      <c r="H117">
        <v>1</v>
      </c>
      <c r="I117">
        <v>1</v>
      </c>
      <c r="J117">
        <v>2</v>
      </c>
      <c r="K117">
        <v>1</v>
      </c>
      <c r="O117" t="s">
        <v>94</v>
      </c>
      <c r="P117">
        <v>1.0004999999999999</v>
      </c>
      <c r="Q117">
        <v>2</v>
      </c>
      <c r="R117">
        <v>2</v>
      </c>
      <c r="S117">
        <v>2</v>
      </c>
      <c r="T117">
        <v>1</v>
      </c>
      <c r="U117">
        <v>1</v>
      </c>
      <c r="V117">
        <v>1</v>
      </c>
      <c r="W117">
        <v>1.0004999999999999</v>
      </c>
      <c r="X117">
        <v>1.0004999999999999</v>
      </c>
    </row>
    <row r="118" spans="2:24" x14ac:dyDescent="0.25">
      <c r="B118" t="s">
        <v>95</v>
      </c>
      <c r="C118">
        <v>7.0004999999999997</v>
      </c>
      <c r="D118">
        <v>7.0004999999999997</v>
      </c>
      <c r="E118">
        <v>7.0004999999999997</v>
      </c>
      <c r="F118">
        <v>8</v>
      </c>
      <c r="G118">
        <v>8</v>
      </c>
      <c r="H118">
        <v>4</v>
      </c>
      <c r="I118">
        <v>4</v>
      </c>
      <c r="J118">
        <v>8</v>
      </c>
      <c r="K118">
        <v>4</v>
      </c>
      <c r="O118" t="s">
        <v>95</v>
      </c>
      <c r="P118">
        <v>7.0004999999999997</v>
      </c>
      <c r="Q118">
        <v>8</v>
      </c>
      <c r="R118">
        <v>8</v>
      </c>
      <c r="S118">
        <v>8</v>
      </c>
      <c r="T118">
        <v>4</v>
      </c>
      <c r="U118">
        <v>4</v>
      </c>
      <c r="V118">
        <v>4</v>
      </c>
      <c r="W118">
        <v>7.0004999999999997</v>
      </c>
      <c r="X118">
        <v>7.0004999999999997</v>
      </c>
    </row>
    <row r="119" spans="2:24" x14ac:dyDescent="0.25">
      <c r="B119" t="s">
        <v>96</v>
      </c>
      <c r="C119">
        <v>34.999499999999998</v>
      </c>
      <c r="D119">
        <v>34.999499999999998</v>
      </c>
      <c r="E119">
        <v>34.999499999999998</v>
      </c>
      <c r="F119">
        <v>40</v>
      </c>
      <c r="G119">
        <v>40</v>
      </c>
      <c r="H119">
        <v>20</v>
      </c>
      <c r="I119">
        <v>20</v>
      </c>
      <c r="J119">
        <v>40</v>
      </c>
      <c r="K119">
        <v>20</v>
      </c>
      <c r="O119" t="s">
        <v>96</v>
      </c>
      <c r="P119">
        <v>34.999499999999998</v>
      </c>
      <c r="Q119">
        <v>40</v>
      </c>
      <c r="R119">
        <v>40</v>
      </c>
      <c r="S119">
        <v>40</v>
      </c>
      <c r="T119">
        <v>20</v>
      </c>
      <c r="U119">
        <v>20</v>
      </c>
      <c r="V119">
        <v>20</v>
      </c>
      <c r="W119">
        <v>34.999499999999998</v>
      </c>
      <c r="X119">
        <v>34.999499999999998</v>
      </c>
    </row>
    <row r="120" spans="2:24" x14ac:dyDescent="0.25">
      <c r="B120" t="s">
        <v>97</v>
      </c>
      <c r="C120">
        <v>600</v>
      </c>
      <c r="D120">
        <v>600</v>
      </c>
      <c r="E120">
        <v>300</v>
      </c>
      <c r="F120">
        <v>480</v>
      </c>
      <c r="G120">
        <v>0</v>
      </c>
      <c r="H120">
        <v>0</v>
      </c>
      <c r="I120">
        <v>0</v>
      </c>
      <c r="J120">
        <v>480</v>
      </c>
      <c r="K120">
        <v>0</v>
      </c>
      <c r="O120" t="s">
        <v>97</v>
      </c>
      <c r="P120">
        <v>600</v>
      </c>
      <c r="Q120">
        <v>480</v>
      </c>
      <c r="R120">
        <v>480</v>
      </c>
      <c r="S120">
        <v>0</v>
      </c>
      <c r="T120">
        <v>0</v>
      </c>
      <c r="U120">
        <v>0</v>
      </c>
      <c r="V120">
        <v>0</v>
      </c>
      <c r="W120">
        <v>600</v>
      </c>
      <c r="X120">
        <v>300</v>
      </c>
    </row>
    <row r="121" spans="2:24" x14ac:dyDescent="0.25">
      <c r="B121" t="s">
        <v>98</v>
      </c>
      <c r="C121">
        <v>19.999500000000001</v>
      </c>
      <c r="D121">
        <v>19.999500000000001</v>
      </c>
      <c r="E121">
        <v>19.999500000000001</v>
      </c>
      <c r="F121">
        <v>24</v>
      </c>
      <c r="G121">
        <v>24</v>
      </c>
      <c r="H121">
        <v>12</v>
      </c>
      <c r="I121">
        <v>12</v>
      </c>
      <c r="J121">
        <v>24</v>
      </c>
      <c r="K121">
        <v>12</v>
      </c>
      <c r="O121" t="s">
        <v>98</v>
      </c>
      <c r="P121">
        <v>19.999500000000001</v>
      </c>
      <c r="Q121">
        <v>24</v>
      </c>
      <c r="R121">
        <v>24</v>
      </c>
      <c r="S121">
        <v>24</v>
      </c>
      <c r="T121">
        <v>12</v>
      </c>
      <c r="U121">
        <v>12</v>
      </c>
      <c r="V121">
        <v>12</v>
      </c>
      <c r="W121">
        <v>19.999500000000001</v>
      </c>
      <c r="X121">
        <v>19.999500000000001</v>
      </c>
    </row>
    <row r="122" spans="2:24" x14ac:dyDescent="0.25">
      <c r="B122" t="s">
        <v>99</v>
      </c>
      <c r="C122">
        <v>3</v>
      </c>
      <c r="D122">
        <v>3</v>
      </c>
      <c r="E122">
        <v>3</v>
      </c>
      <c r="F122">
        <v>10</v>
      </c>
      <c r="G122">
        <v>10</v>
      </c>
      <c r="H122">
        <v>2</v>
      </c>
      <c r="I122">
        <v>2</v>
      </c>
      <c r="J122">
        <v>10</v>
      </c>
      <c r="K122">
        <v>2</v>
      </c>
      <c r="O122" t="s">
        <v>99</v>
      </c>
      <c r="P122">
        <v>3</v>
      </c>
      <c r="Q122">
        <v>10</v>
      </c>
      <c r="R122">
        <v>10</v>
      </c>
      <c r="S122">
        <v>10</v>
      </c>
      <c r="T122">
        <v>2</v>
      </c>
      <c r="U122">
        <v>2</v>
      </c>
      <c r="V122">
        <v>2</v>
      </c>
      <c r="W122">
        <v>3</v>
      </c>
      <c r="X122">
        <v>3</v>
      </c>
    </row>
    <row r="123" spans="2:24" x14ac:dyDescent="0.25">
      <c r="B123" t="s">
        <v>100</v>
      </c>
      <c r="C123">
        <v>0.45</v>
      </c>
      <c r="D123">
        <v>0.45</v>
      </c>
      <c r="E123">
        <v>0.45</v>
      </c>
      <c r="F123">
        <v>0.2</v>
      </c>
      <c r="G123">
        <v>0.2</v>
      </c>
      <c r="H123">
        <v>0.1</v>
      </c>
      <c r="I123">
        <v>0.1</v>
      </c>
      <c r="J123">
        <v>0.2</v>
      </c>
      <c r="K123">
        <v>0.1</v>
      </c>
      <c r="O123" t="s">
        <v>100</v>
      </c>
      <c r="P123">
        <v>0.45</v>
      </c>
      <c r="Q123">
        <v>0.2</v>
      </c>
      <c r="R123">
        <v>0.2</v>
      </c>
      <c r="S123">
        <v>0.2</v>
      </c>
      <c r="T123">
        <v>0.1</v>
      </c>
      <c r="U123">
        <v>0.1</v>
      </c>
      <c r="V123">
        <v>0.1</v>
      </c>
      <c r="W123">
        <v>0.45</v>
      </c>
      <c r="X123">
        <v>0.45</v>
      </c>
    </row>
    <row r="124" spans="2:24" x14ac:dyDescent="0.25">
      <c r="B124" t="s">
        <v>101</v>
      </c>
      <c r="C124">
        <v>1.9995000000000001</v>
      </c>
      <c r="D124">
        <v>1.9995000000000001</v>
      </c>
      <c r="E124">
        <v>1.9995000000000001</v>
      </c>
      <c r="F124">
        <v>1</v>
      </c>
      <c r="G124">
        <v>1</v>
      </c>
      <c r="H124">
        <v>0.5</v>
      </c>
      <c r="I124">
        <v>0.5</v>
      </c>
      <c r="J124">
        <v>1</v>
      </c>
      <c r="K124">
        <v>0.5</v>
      </c>
      <c r="O124" t="s">
        <v>101</v>
      </c>
      <c r="P124">
        <v>1.9995000000000001</v>
      </c>
      <c r="Q124">
        <v>1</v>
      </c>
      <c r="R124">
        <v>1</v>
      </c>
      <c r="S124">
        <v>1</v>
      </c>
      <c r="T124">
        <v>0.5</v>
      </c>
      <c r="U124">
        <v>0.5</v>
      </c>
      <c r="V124">
        <v>0.5</v>
      </c>
      <c r="W124">
        <v>1.9995000000000001</v>
      </c>
      <c r="X124">
        <v>1.9995000000000001</v>
      </c>
    </row>
    <row r="125" spans="2:24" x14ac:dyDescent="0.25">
      <c r="B125" t="s">
        <v>102</v>
      </c>
      <c r="C125">
        <v>4.0500000000000001E-2</v>
      </c>
      <c r="D125">
        <v>4.0500000000000001E-2</v>
      </c>
      <c r="E125">
        <v>4.0500000000000001E-2</v>
      </c>
      <c r="F125">
        <v>0.04</v>
      </c>
      <c r="G125">
        <v>0.04</v>
      </c>
      <c r="H125">
        <v>0.02</v>
      </c>
      <c r="I125">
        <v>0.02</v>
      </c>
      <c r="J125">
        <v>0.04</v>
      </c>
      <c r="K125">
        <v>0.02</v>
      </c>
      <c r="O125" t="s">
        <v>102</v>
      </c>
      <c r="P125">
        <v>4.0500000000000001E-2</v>
      </c>
      <c r="Q125">
        <v>0.04</v>
      </c>
      <c r="R125">
        <v>0.04</v>
      </c>
      <c r="S125">
        <v>0.04</v>
      </c>
      <c r="T125">
        <v>0.02</v>
      </c>
      <c r="U125">
        <v>0.02</v>
      </c>
      <c r="V125">
        <v>0.02</v>
      </c>
      <c r="W125">
        <v>4.0500000000000001E-2</v>
      </c>
      <c r="X125">
        <v>4.0500000000000001E-2</v>
      </c>
    </row>
    <row r="126" spans="2:24" x14ac:dyDescent="0.25">
      <c r="B126" t="s">
        <v>103</v>
      </c>
      <c r="C126">
        <v>52.409384000000003</v>
      </c>
      <c r="D126">
        <v>51.299874000000003</v>
      </c>
      <c r="E126">
        <v>50.198709999999998</v>
      </c>
      <c r="F126">
        <v>46.240951000000003</v>
      </c>
      <c r="G126">
        <v>44.125463000000003</v>
      </c>
      <c r="H126">
        <v>50.74194</v>
      </c>
      <c r="I126">
        <v>51.406109999999998</v>
      </c>
      <c r="J126">
        <v>42.794449999999998</v>
      </c>
      <c r="K126">
        <v>52.371904000000001</v>
      </c>
      <c r="O126" t="s">
        <v>103</v>
      </c>
      <c r="P126">
        <v>52.409384000000003</v>
      </c>
      <c r="Q126">
        <v>42.794449999999998</v>
      </c>
      <c r="R126">
        <v>46.240951000000003</v>
      </c>
      <c r="S126">
        <v>44.125463000000003</v>
      </c>
      <c r="T126">
        <v>50.74194</v>
      </c>
      <c r="U126">
        <v>52.371904000000001</v>
      </c>
      <c r="V126">
        <v>51.406109999999998</v>
      </c>
      <c r="W126">
        <v>51.299874000000003</v>
      </c>
      <c r="X126">
        <v>50.198709999999998</v>
      </c>
    </row>
    <row r="127" spans="2:24" x14ac:dyDescent="0.25">
      <c r="B127" t="s">
        <v>105</v>
      </c>
      <c r="C127">
        <v>578.96737199999995</v>
      </c>
      <c r="D127">
        <v>498.27947</v>
      </c>
      <c r="E127">
        <v>521.52197200000001</v>
      </c>
      <c r="F127">
        <v>544.22067900000002</v>
      </c>
      <c r="G127">
        <v>557.50099999999998</v>
      </c>
      <c r="H127">
        <v>553.8125</v>
      </c>
      <c r="I127">
        <v>571.03155300000003</v>
      </c>
      <c r="J127">
        <v>559.07070499999998</v>
      </c>
      <c r="K127">
        <v>558.87900000000002</v>
      </c>
      <c r="O127" t="s">
        <v>105</v>
      </c>
      <c r="P127">
        <v>578.96737199999995</v>
      </c>
      <c r="Q127">
        <v>559.07070499999998</v>
      </c>
      <c r="R127">
        <v>544.22067900000002</v>
      </c>
      <c r="S127">
        <v>557.50099999999998</v>
      </c>
      <c r="T127">
        <v>553.8125</v>
      </c>
      <c r="U127">
        <v>558.87900000000002</v>
      </c>
      <c r="V127">
        <v>571.03155300000003</v>
      </c>
      <c r="W127">
        <v>498.27947</v>
      </c>
      <c r="X127">
        <v>521.52197200000001</v>
      </c>
    </row>
    <row r="128" spans="2:24" x14ac:dyDescent="0.25">
      <c r="B128" t="s">
        <v>107</v>
      </c>
      <c r="C128">
        <v>4.4502810000000004</v>
      </c>
      <c r="D128">
        <v>4.6191009999999997</v>
      </c>
      <c r="E128">
        <v>4.5779509999999997</v>
      </c>
      <c r="F128">
        <v>4.9302419999999998</v>
      </c>
      <c r="G128">
        <v>4.6826999999999996</v>
      </c>
      <c r="H128">
        <v>4.4486999999999997</v>
      </c>
      <c r="I128">
        <v>4.7131720000000001</v>
      </c>
      <c r="J128">
        <v>5.2779090000000002</v>
      </c>
      <c r="K128">
        <v>4.5822000000000003</v>
      </c>
      <c r="O128" t="s">
        <v>107</v>
      </c>
      <c r="P128">
        <v>4.4502810000000004</v>
      </c>
      <c r="Q128">
        <v>5.2779090000000002</v>
      </c>
      <c r="R128">
        <v>4.9302419999999998</v>
      </c>
      <c r="S128">
        <v>4.6826999999999996</v>
      </c>
      <c r="T128">
        <v>4.4486999999999997</v>
      </c>
      <c r="U128">
        <v>4.5822000000000003</v>
      </c>
      <c r="V128">
        <v>4.7131720000000001</v>
      </c>
      <c r="W128">
        <v>4.6191009999999997</v>
      </c>
      <c r="X128">
        <v>4.5779509999999997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7"/>
  <sheetViews>
    <sheetView zoomScale="85" zoomScaleNormal="85" workbookViewId="0">
      <pane xSplit="1" ySplit="4" topLeftCell="B5" activePane="bottomRight" state="frozen"/>
      <selection activeCell="D1" sqref="D1:D1048576"/>
      <selection pane="topRight" activeCell="D1" sqref="D1:D1048576"/>
      <selection pane="bottomLeft" activeCell="D1" sqref="D1:D1048576"/>
      <selection pane="bottomRight" activeCell="D1" sqref="D1:D1048576"/>
    </sheetView>
  </sheetViews>
  <sheetFormatPr defaultRowHeight="15.75" x14ac:dyDescent="0.25"/>
  <cols>
    <col min="1" max="1" width="10.77734375" style="5" customWidth="1"/>
    <col min="2" max="2" width="32.21875" style="6" bestFit="1" customWidth="1"/>
    <col min="3" max="3" width="12.77734375" style="6" customWidth="1"/>
    <col min="4" max="4" width="12.77734375" style="178" customWidth="1"/>
    <col min="5" max="5" width="14.77734375" style="178" customWidth="1"/>
    <col min="7" max="7" width="10.77734375" style="5" customWidth="1"/>
    <col min="8" max="8" width="32.21875" style="6" bestFit="1" customWidth="1"/>
    <col min="9" max="9" width="12.77734375" style="6" customWidth="1"/>
    <col min="10" max="10" width="12.77734375" style="178" customWidth="1"/>
    <col min="11" max="11" width="14.77734375" style="178" customWidth="1"/>
    <col min="13" max="13" width="10.77734375" style="5" customWidth="1"/>
    <col min="14" max="14" width="32.21875" style="6" bestFit="1" customWidth="1"/>
    <col min="15" max="15" width="12.77734375" style="6" customWidth="1"/>
    <col min="16" max="16" width="12.77734375" style="178" customWidth="1"/>
    <col min="17" max="17" width="14.77734375" style="178" customWidth="1"/>
    <col min="19" max="19" width="10.77734375" style="5" customWidth="1"/>
    <col min="20" max="20" width="32.21875" style="6" bestFit="1" customWidth="1"/>
    <col min="21" max="21" width="12.77734375" style="6" customWidth="1"/>
    <col min="22" max="22" width="12.77734375" style="178" customWidth="1"/>
    <col min="23" max="23" width="14.77734375" style="178" customWidth="1"/>
  </cols>
  <sheetData>
    <row r="1" spans="1:23" ht="19.5" thickTop="1" thickBot="1" x14ac:dyDescent="0.3">
      <c r="A1" s="272" t="s">
        <v>260</v>
      </c>
      <c r="B1" s="273"/>
      <c r="C1" s="274"/>
      <c r="D1" s="193">
        <v>44483</v>
      </c>
      <c r="G1" s="272" t="s">
        <v>302</v>
      </c>
      <c r="H1" s="273"/>
      <c r="I1" s="274"/>
      <c r="J1" s="193">
        <v>44453</v>
      </c>
      <c r="M1" s="272" t="s">
        <v>302</v>
      </c>
      <c r="N1" s="273"/>
      <c r="O1" s="274"/>
      <c r="P1" s="193">
        <v>44391</v>
      </c>
      <c r="S1" s="272" t="s">
        <v>302</v>
      </c>
      <c r="T1" s="273"/>
      <c r="U1" s="274"/>
      <c r="V1" s="193">
        <v>44326</v>
      </c>
    </row>
    <row r="2" spans="1:23" ht="17.25" thickTop="1" thickBot="1" x14ac:dyDescent="0.3">
      <c r="A2"/>
      <c r="B2" s="5"/>
      <c r="C2" s="38"/>
      <c r="D2" s="275" t="s">
        <v>228</v>
      </c>
      <c r="E2" s="276"/>
      <c r="G2"/>
      <c r="H2" s="5"/>
      <c r="I2" s="38"/>
      <c r="J2" s="275" t="s">
        <v>296</v>
      </c>
      <c r="K2" s="276"/>
      <c r="M2"/>
      <c r="N2" s="5"/>
      <c r="O2" s="38"/>
      <c r="P2" s="275" t="s">
        <v>296</v>
      </c>
      <c r="Q2" s="276"/>
      <c r="S2"/>
      <c r="T2" s="5"/>
      <c r="U2" s="38"/>
      <c r="V2" s="275" t="s">
        <v>296</v>
      </c>
      <c r="W2" s="276"/>
    </row>
    <row r="3" spans="1:23" ht="16.5" thickBot="1" x14ac:dyDescent="0.3">
      <c r="A3"/>
      <c r="B3" s="7"/>
      <c r="C3" s="38"/>
      <c r="D3" s="277" t="s">
        <v>250</v>
      </c>
      <c r="E3" s="278"/>
      <c r="G3"/>
      <c r="H3" s="7"/>
      <c r="I3" s="38"/>
      <c r="J3" s="277" t="s">
        <v>297</v>
      </c>
      <c r="K3" s="278"/>
      <c r="M3"/>
      <c r="N3" s="7"/>
      <c r="O3" s="38"/>
      <c r="P3" s="277" t="s">
        <v>297</v>
      </c>
      <c r="Q3" s="278"/>
      <c r="S3"/>
      <c r="T3" s="7"/>
      <c r="U3" s="38"/>
      <c r="V3" s="277" t="s">
        <v>297</v>
      </c>
      <c r="W3" s="278"/>
    </row>
    <row r="4" spans="1:23" ht="31.5" x14ac:dyDescent="0.25">
      <c r="A4" s="3" t="s">
        <v>0</v>
      </c>
      <c r="B4" s="3" t="s">
        <v>1</v>
      </c>
      <c r="C4" s="4" t="s">
        <v>2</v>
      </c>
      <c r="D4" s="4" t="s">
        <v>3</v>
      </c>
      <c r="E4" s="4" t="s">
        <v>4</v>
      </c>
      <c r="G4" s="3" t="s">
        <v>0</v>
      </c>
      <c r="H4" s="3" t="s">
        <v>1</v>
      </c>
      <c r="I4" s="4" t="s">
        <v>298</v>
      </c>
      <c r="J4" s="4" t="s">
        <v>299</v>
      </c>
      <c r="K4" s="4" t="s">
        <v>300</v>
      </c>
      <c r="M4" s="3" t="s">
        <v>0</v>
      </c>
      <c r="N4" s="3" t="s">
        <v>1</v>
      </c>
      <c r="O4" s="4" t="s">
        <v>298</v>
      </c>
      <c r="P4" s="4" t="s">
        <v>299</v>
      </c>
      <c r="Q4" s="4" t="s">
        <v>300</v>
      </c>
      <c r="S4" s="3" t="s">
        <v>0</v>
      </c>
      <c r="T4" s="3" t="s">
        <v>1</v>
      </c>
      <c r="U4" s="4" t="s">
        <v>298</v>
      </c>
      <c r="V4" s="4" t="s">
        <v>299</v>
      </c>
      <c r="W4" s="4" t="s">
        <v>300</v>
      </c>
    </row>
    <row r="5" spans="1:23" x14ac:dyDescent="0.25">
      <c r="B5" s="6" t="s">
        <v>5</v>
      </c>
      <c r="C5" s="8"/>
      <c r="D5" s="9"/>
      <c r="E5" s="10"/>
      <c r="H5" s="6" t="s">
        <v>5</v>
      </c>
      <c r="I5" s="8"/>
      <c r="J5" s="9"/>
      <c r="K5" s="10"/>
      <c r="N5" s="6" t="s">
        <v>5</v>
      </c>
      <c r="O5" s="8"/>
      <c r="P5" s="9"/>
      <c r="Q5" s="10"/>
      <c r="T5" s="6" t="s">
        <v>5</v>
      </c>
      <c r="U5" s="8"/>
      <c r="V5" s="9"/>
      <c r="W5" s="10"/>
    </row>
    <row r="6" spans="1:23" x14ac:dyDescent="0.25">
      <c r="A6" s="5">
        <v>11132</v>
      </c>
      <c r="B6" s="6" t="s">
        <v>16</v>
      </c>
      <c r="C6" s="8">
        <f t="shared" ref="C6:C20" si="0">D6*10</f>
        <v>556.14069999999992</v>
      </c>
      <c r="D6" s="9">
        <f t="shared" ref="D6:D20" si="1">IFERROR(VLOOKUP(A6,raw_1,3,FALSE),0)</f>
        <v>55.614069999999998</v>
      </c>
      <c r="E6" s="10">
        <f t="shared" ref="E6:E20" si="2">IF(ISNA(VLOOKUP(B6,RMP_MFH,2,FALSE)),"N/A",VLOOKUP(B6,RMP_MFH,2,FALSE))</f>
        <v>404</v>
      </c>
      <c r="G6" s="5">
        <v>14320</v>
      </c>
      <c r="H6" s="6" t="s">
        <v>269</v>
      </c>
      <c r="I6" s="8">
        <v>575.97546</v>
      </c>
      <c r="J6" s="9">
        <v>57.597546000000001</v>
      </c>
      <c r="K6" s="10">
        <v>418</v>
      </c>
      <c r="M6" s="5">
        <v>14320</v>
      </c>
      <c r="N6" s="6" t="s">
        <v>269</v>
      </c>
      <c r="O6" s="8">
        <v>593.13020000000006</v>
      </c>
      <c r="P6" s="9">
        <v>59.313020000000002</v>
      </c>
      <c r="Q6" s="10">
        <v>404</v>
      </c>
      <c r="S6" s="5">
        <v>14320</v>
      </c>
      <c r="T6" s="6" t="s">
        <v>269</v>
      </c>
      <c r="U6" s="8">
        <v>641.80466000000001</v>
      </c>
      <c r="V6" s="9">
        <v>64.180465999999996</v>
      </c>
      <c r="W6" s="10">
        <v>343.86</v>
      </c>
    </row>
    <row r="7" spans="1:23" x14ac:dyDescent="0.25">
      <c r="A7" s="5">
        <v>42120</v>
      </c>
      <c r="B7" s="6" t="s">
        <v>272</v>
      </c>
      <c r="C7" s="8">
        <f t="shared" si="0"/>
        <v>147</v>
      </c>
      <c r="D7" s="9">
        <f t="shared" si="1"/>
        <v>14.7</v>
      </c>
      <c r="E7" s="10">
        <f t="shared" si="2"/>
        <v>618</v>
      </c>
      <c r="G7" s="5">
        <v>10020</v>
      </c>
      <c r="H7" s="6" t="s">
        <v>17</v>
      </c>
      <c r="I7" s="8">
        <v>150</v>
      </c>
      <c r="J7" s="9">
        <v>15</v>
      </c>
      <c r="K7" s="10">
        <v>395</v>
      </c>
      <c r="M7" s="5">
        <v>40004</v>
      </c>
      <c r="N7" s="6" t="s">
        <v>15</v>
      </c>
      <c r="O7" s="8">
        <v>235.69598999999999</v>
      </c>
      <c r="P7" s="9">
        <v>23.569599</v>
      </c>
      <c r="Q7" s="10">
        <v>490</v>
      </c>
      <c r="S7" s="5">
        <v>40004</v>
      </c>
      <c r="T7" s="6" t="s">
        <v>15</v>
      </c>
      <c r="U7" s="8">
        <v>250</v>
      </c>
      <c r="V7" s="9">
        <v>25</v>
      </c>
      <c r="W7" s="10">
        <v>366.17</v>
      </c>
    </row>
    <row r="8" spans="1:23" ht="17.25" customHeight="1" x14ac:dyDescent="0.25">
      <c r="A8" s="5">
        <v>14320</v>
      </c>
      <c r="B8" s="6" t="s">
        <v>269</v>
      </c>
      <c r="C8" s="8">
        <f t="shared" si="0"/>
        <v>100</v>
      </c>
      <c r="D8" s="9">
        <f t="shared" si="1"/>
        <v>10</v>
      </c>
      <c r="E8" s="10">
        <f t="shared" si="2"/>
        <v>468</v>
      </c>
      <c r="G8" s="5">
        <v>42120</v>
      </c>
      <c r="H8" s="6" t="s">
        <v>272</v>
      </c>
      <c r="I8" s="8">
        <v>117</v>
      </c>
      <c r="J8" s="9">
        <v>11.7</v>
      </c>
      <c r="K8" s="10">
        <v>555</v>
      </c>
      <c r="M8" s="5">
        <v>20550</v>
      </c>
      <c r="N8" s="6" t="s">
        <v>109</v>
      </c>
      <c r="O8" s="8">
        <v>100</v>
      </c>
      <c r="P8" s="9">
        <v>10</v>
      </c>
      <c r="Q8" s="10">
        <v>386</v>
      </c>
      <c r="S8" s="5">
        <v>42120</v>
      </c>
      <c r="T8" s="6" t="s">
        <v>272</v>
      </c>
      <c r="U8" s="8">
        <v>54</v>
      </c>
      <c r="V8" s="9">
        <v>5.4</v>
      </c>
      <c r="W8" s="10">
        <v>568</v>
      </c>
    </row>
    <row r="9" spans="1:23" x14ac:dyDescent="0.25">
      <c r="A9">
        <v>20550</v>
      </c>
      <c r="B9" s="6" t="s">
        <v>109</v>
      </c>
      <c r="C9" s="8">
        <f t="shared" si="0"/>
        <v>100</v>
      </c>
      <c r="D9" s="9">
        <f t="shared" si="1"/>
        <v>10</v>
      </c>
      <c r="E9" s="10">
        <f t="shared" si="2"/>
        <v>450</v>
      </c>
      <c r="G9" s="5">
        <v>20550</v>
      </c>
      <c r="H9" s="6" t="s">
        <v>109</v>
      </c>
      <c r="I9" s="8">
        <v>100</v>
      </c>
      <c r="J9" s="9">
        <v>10</v>
      </c>
      <c r="K9" s="10">
        <v>392</v>
      </c>
      <c r="M9" s="5">
        <v>42120</v>
      </c>
      <c r="N9" s="6" t="s">
        <v>272</v>
      </c>
      <c r="O9" s="8">
        <v>17</v>
      </c>
      <c r="P9" s="9">
        <v>1.7</v>
      </c>
      <c r="Q9" s="10">
        <v>570</v>
      </c>
      <c r="S9" s="5">
        <v>91000</v>
      </c>
      <c r="T9" s="6" t="s">
        <v>278</v>
      </c>
      <c r="U9" s="8">
        <v>15.625730000000001</v>
      </c>
      <c r="V9" s="9">
        <v>1.562573</v>
      </c>
      <c r="W9" s="10">
        <v>2650</v>
      </c>
    </row>
    <row r="10" spans="1:23" x14ac:dyDescent="0.25">
      <c r="A10">
        <v>40060</v>
      </c>
      <c r="B10" s="6" t="s">
        <v>112</v>
      </c>
      <c r="C10" s="8">
        <f t="shared" si="0"/>
        <v>50</v>
      </c>
      <c r="D10" s="9">
        <f t="shared" si="1"/>
        <v>5</v>
      </c>
      <c r="E10" s="10">
        <f t="shared" si="2"/>
        <v>457</v>
      </c>
      <c r="G10" s="5">
        <v>91000</v>
      </c>
      <c r="H10" s="6" t="s">
        <v>306</v>
      </c>
      <c r="I10" s="8">
        <v>18.974540000000001</v>
      </c>
      <c r="J10" s="9">
        <v>1.897454</v>
      </c>
      <c r="K10" s="10">
        <v>2200</v>
      </c>
      <c r="M10" s="5">
        <v>91000</v>
      </c>
      <c r="N10" s="6" t="s">
        <v>306</v>
      </c>
      <c r="O10" s="8">
        <v>15</v>
      </c>
      <c r="P10" s="9">
        <v>1.5</v>
      </c>
      <c r="Q10" s="10">
        <v>2050</v>
      </c>
      <c r="S10" s="5">
        <v>60080</v>
      </c>
      <c r="T10" s="6" t="s">
        <v>273</v>
      </c>
      <c r="U10" s="8">
        <v>15.5</v>
      </c>
      <c r="V10" s="9">
        <v>1.55</v>
      </c>
      <c r="W10" s="10">
        <v>132</v>
      </c>
    </row>
    <row r="11" spans="1:23" x14ac:dyDescent="0.25">
      <c r="A11" s="5">
        <v>60080</v>
      </c>
      <c r="B11" s="6" t="s">
        <v>273</v>
      </c>
      <c r="C11" s="8">
        <f t="shared" si="0"/>
        <v>15.5</v>
      </c>
      <c r="D11" s="9">
        <f t="shared" si="1"/>
        <v>1.55</v>
      </c>
      <c r="E11" s="10">
        <f t="shared" si="2"/>
        <v>132</v>
      </c>
      <c r="G11" s="5">
        <v>60080</v>
      </c>
      <c r="H11" s="6" t="s">
        <v>273</v>
      </c>
      <c r="I11" s="8">
        <v>16</v>
      </c>
      <c r="J11" s="9">
        <v>1.6</v>
      </c>
      <c r="K11" s="10">
        <v>132</v>
      </c>
      <c r="M11" s="5">
        <v>60080</v>
      </c>
      <c r="N11" s="6" t="s">
        <v>273</v>
      </c>
      <c r="O11" s="8">
        <v>16.5</v>
      </c>
      <c r="P11" s="9">
        <v>1.65</v>
      </c>
      <c r="Q11" s="10">
        <v>110</v>
      </c>
      <c r="S11" s="5">
        <v>60220</v>
      </c>
      <c r="T11" s="6" t="s">
        <v>274</v>
      </c>
      <c r="U11" s="8">
        <v>9</v>
      </c>
      <c r="V11" s="9">
        <v>0.9</v>
      </c>
      <c r="W11" s="10">
        <v>970</v>
      </c>
    </row>
    <row r="12" spans="1:23" x14ac:dyDescent="0.25">
      <c r="A12" s="5">
        <v>91000</v>
      </c>
      <c r="B12" s="6" t="s">
        <v>306</v>
      </c>
      <c r="C12" s="8">
        <f t="shared" si="0"/>
        <v>10</v>
      </c>
      <c r="D12" s="9">
        <f t="shared" si="1"/>
        <v>1</v>
      </c>
      <c r="E12" s="10">
        <f t="shared" si="2"/>
        <v>2650</v>
      </c>
      <c r="G12" s="5">
        <v>60220</v>
      </c>
      <c r="H12" s="6" t="s">
        <v>274</v>
      </c>
      <c r="I12" s="8">
        <v>8</v>
      </c>
      <c r="J12" s="9">
        <v>0.8</v>
      </c>
      <c r="K12" s="10">
        <v>970</v>
      </c>
      <c r="M12" s="5">
        <v>60220</v>
      </c>
      <c r="N12" s="6" t="s">
        <v>274</v>
      </c>
      <c r="O12" s="8">
        <v>8</v>
      </c>
      <c r="P12" s="9">
        <v>0.8</v>
      </c>
      <c r="Q12" s="10">
        <v>950</v>
      </c>
      <c r="S12" s="5">
        <v>60700</v>
      </c>
      <c r="T12" s="6" t="s">
        <v>275</v>
      </c>
      <c r="U12" s="8">
        <v>5.1510899999999999</v>
      </c>
      <c r="V12" s="9">
        <v>0.51510900000000004</v>
      </c>
      <c r="W12" s="10">
        <v>115</v>
      </c>
    </row>
    <row r="13" spans="1:23" x14ac:dyDescent="0.25">
      <c r="A13" s="5">
        <v>60220</v>
      </c>
      <c r="B13" s="6" t="s">
        <v>274</v>
      </c>
      <c r="C13" s="8">
        <f t="shared" si="0"/>
        <v>9</v>
      </c>
      <c r="D13" s="9">
        <f t="shared" si="1"/>
        <v>0.9</v>
      </c>
      <c r="E13" s="10">
        <f t="shared" si="2"/>
        <v>970</v>
      </c>
      <c r="G13" s="5">
        <v>66069</v>
      </c>
      <c r="H13" s="6" t="s">
        <v>277</v>
      </c>
      <c r="I13" s="8">
        <v>5.8</v>
      </c>
      <c r="J13" s="9">
        <v>0.57999999999999996</v>
      </c>
      <c r="K13" s="10">
        <v>2195</v>
      </c>
      <c r="M13" s="5">
        <v>60700</v>
      </c>
      <c r="N13" s="6" t="s">
        <v>275</v>
      </c>
      <c r="O13" s="8">
        <v>4.5</v>
      </c>
      <c r="P13" s="9">
        <v>0.45</v>
      </c>
      <c r="Q13" s="10">
        <v>100</v>
      </c>
      <c r="S13" s="5">
        <v>66069</v>
      </c>
      <c r="T13" s="6" t="s">
        <v>277</v>
      </c>
      <c r="U13" s="8">
        <v>4.2685200000000005</v>
      </c>
      <c r="V13" s="9">
        <v>0.42685200000000001</v>
      </c>
      <c r="W13" s="10">
        <v>2050</v>
      </c>
    </row>
    <row r="14" spans="1:23" x14ac:dyDescent="0.25">
      <c r="A14" s="5">
        <v>66069</v>
      </c>
      <c r="B14" s="6" t="s">
        <v>277</v>
      </c>
      <c r="C14" s="8">
        <f t="shared" si="0"/>
        <v>4.6593</v>
      </c>
      <c r="D14" s="9">
        <f t="shared" si="1"/>
        <v>0.46593000000000001</v>
      </c>
      <c r="E14" s="10">
        <f t="shared" si="2"/>
        <v>2610</v>
      </c>
      <c r="G14" s="5">
        <v>60700</v>
      </c>
      <c r="H14" s="6" t="s">
        <v>275</v>
      </c>
      <c r="I14" s="8">
        <v>4.5</v>
      </c>
      <c r="J14" s="9">
        <v>0.45</v>
      </c>
      <c r="K14" s="10">
        <v>115</v>
      </c>
      <c r="M14" s="5">
        <v>66069</v>
      </c>
      <c r="N14" s="6" t="s">
        <v>277</v>
      </c>
      <c r="O14" s="8">
        <v>5.4738100000000003</v>
      </c>
      <c r="P14" s="9">
        <v>0.54738100000000001</v>
      </c>
      <c r="Q14" s="10">
        <v>2050</v>
      </c>
      <c r="S14" s="5">
        <v>922557</v>
      </c>
      <c r="T14" s="6" t="s">
        <v>282</v>
      </c>
      <c r="U14" s="8">
        <v>1.5</v>
      </c>
      <c r="V14" s="9">
        <v>0.15</v>
      </c>
      <c r="W14" s="10">
        <v>7900</v>
      </c>
    </row>
    <row r="15" spans="1:23" x14ac:dyDescent="0.25">
      <c r="A15" s="5">
        <v>60700</v>
      </c>
      <c r="B15" s="6" t="s">
        <v>275</v>
      </c>
      <c r="C15" s="8">
        <f t="shared" si="0"/>
        <v>4.5</v>
      </c>
      <c r="D15" s="9">
        <f t="shared" si="1"/>
        <v>0.45</v>
      </c>
      <c r="E15" s="10">
        <f t="shared" si="2"/>
        <v>115</v>
      </c>
      <c r="G15" s="5">
        <v>922557</v>
      </c>
      <c r="H15" s="6" t="s">
        <v>282</v>
      </c>
      <c r="I15" s="8">
        <v>1.5</v>
      </c>
      <c r="J15" s="9">
        <v>0.15</v>
      </c>
      <c r="K15" s="10">
        <v>7800</v>
      </c>
      <c r="M15" s="5">
        <v>922557</v>
      </c>
      <c r="N15" s="6" t="s">
        <v>282</v>
      </c>
      <c r="O15" s="8">
        <v>1.5</v>
      </c>
      <c r="P15" s="9">
        <v>0.15</v>
      </c>
      <c r="Q15" s="10">
        <v>7800</v>
      </c>
      <c r="S15" s="5">
        <v>66300</v>
      </c>
      <c r="T15" s="6" t="s">
        <v>11</v>
      </c>
      <c r="U15" s="8">
        <v>1.3</v>
      </c>
      <c r="V15" s="9">
        <v>0.13</v>
      </c>
      <c r="W15" s="10">
        <v>3200</v>
      </c>
    </row>
    <row r="16" spans="1:23" x14ac:dyDescent="0.25">
      <c r="A16" s="5">
        <v>922557</v>
      </c>
      <c r="B16" s="6" t="s">
        <v>282</v>
      </c>
      <c r="C16" s="8">
        <f t="shared" si="0"/>
        <v>1.5</v>
      </c>
      <c r="D16" s="9">
        <f t="shared" si="1"/>
        <v>0.15</v>
      </c>
      <c r="E16" s="10">
        <f t="shared" si="2"/>
        <v>7800</v>
      </c>
      <c r="G16" s="5">
        <v>66300</v>
      </c>
      <c r="H16" s="6" t="s">
        <v>11</v>
      </c>
      <c r="I16" s="8">
        <v>1.1000000000000001</v>
      </c>
      <c r="J16" s="9">
        <v>0.11</v>
      </c>
      <c r="K16" s="10">
        <v>13750</v>
      </c>
      <c r="M16" s="5">
        <v>66300</v>
      </c>
      <c r="N16" s="6" t="s">
        <v>11</v>
      </c>
      <c r="O16" s="8">
        <v>1.4000000000000001</v>
      </c>
      <c r="P16" s="9">
        <v>0.14000000000000001</v>
      </c>
      <c r="Q16" s="10">
        <v>3300</v>
      </c>
      <c r="S16" s="5">
        <v>64680</v>
      </c>
      <c r="T16" s="6" t="s">
        <v>12</v>
      </c>
      <c r="U16" s="8">
        <v>1</v>
      </c>
      <c r="V16" s="9">
        <v>0.1</v>
      </c>
      <c r="W16" s="10">
        <v>1720</v>
      </c>
    </row>
    <row r="17" spans="1:23" x14ac:dyDescent="0.25">
      <c r="A17" s="5">
        <v>64680</v>
      </c>
      <c r="B17" s="6" t="s">
        <v>12</v>
      </c>
      <c r="C17" s="8">
        <f t="shared" si="0"/>
        <v>1</v>
      </c>
      <c r="D17" s="9">
        <f t="shared" si="1"/>
        <v>0.1</v>
      </c>
      <c r="E17" s="10">
        <f t="shared" si="2"/>
        <v>3850</v>
      </c>
      <c r="G17" s="5">
        <v>64680</v>
      </c>
      <c r="H17" s="6" t="s">
        <v>12</v>
      </c>
      <c r="I17" s="8">
        <v>1</v>
      </c>
      <c r="J17" s="9">
        <v>0.1</v>
      </c>
      <c r="K17" s="10">
        <v>2305</v>
      </c>
      <c r="M17" s="5">
        <v>64680</v>
      </c>
      <c r="N17" s="6" t="s">
        <v>12</v>
      </c>
      <c r="O17" s="8">
        <v>1</v>
      </c>
      <c r="P17" s="9">
        <v>0.1</v>
      </c>
      <c r="Q17" s="10">
        <v>2180</v>
      </c>
      <c r="S17" s="5">
        <v>66100</v>
      </c>
      <c r="T17" s="6" t="s">
        <v>13</v>
      </c>
      <c r="U17" s="8">
        <v>0.75</v>
      </c>
      <c r="V17" s="9">
        <v>7.4999999999999997E-2</v>
      </c>
      <c r="W17" s="10">
        <v>4525</v>
      </c>
    </row>
    <row r="18" spans="1:23" x14ac:dyDescent="0.25">
      <c r="A18" s="5">
        <v>66300</v>
      </c>
      <c r="B18" s="6" t="s">
        <v>11</v>
      </c>
      <c r="C18" s="8">
        <f t="shared" si="0"/>
        <v>0.70000000000000007</v>
      </c>
      <c r="D18" s="9">
        <f t="shared" si="1"/>
        <v>7.0000000000000007E-2</v>
      </c>
      <c r="E18" s="10">
        <f t="shared" si="2"/>
        <v>4000</v>
      </c>
      <c r="G18" s="5">
        <v>66100</v>
      </c>
      <c r="H18" s="6" t="s">
        <v>13</v>
      </c>
      <c r="I18" s="8">
        <v>0.15</v>
      </c>
      <c r="J18" s="9">
        <v>1.4999999999999999E-2</v>
      </c>
      <c r="K18" s="10">
        <v>4200</v>
      </c>
      <c r="M18" s="5">
        <v>66100</v>
      </c>
      <c r="N18" s="6" t="s">
        <v>13</v>
      </c>
      <c r="O18" s="8">
        <v>0.6</v>
      </c>
      <c r="P18" s="9">
        <v>0.06</v>
      </c>
      <c r="Q18" s="10">
        <v>4350</v>
      </c>
      <c r="S18" s="5">
        <v>66200</v>
      </c>
      <c r="T18" s="6" t="s">
        <v>14</v>
      </c>
      <c r="U18" s="8">
        <v>0.1</v>
      </c>
      <c r="V18" s="9">
        <v>0.01</v>
      </c>
      <c r="W18" s="10">
        <v>12750</v>
      </c>
    </row>
    <row r="19" spans="1:23" x14ac:dyDescent="0.25">
      <c r="A19" s="5">
        <v>66100</v>
      </c>
      <c r="B19" s="6" t="s">
        <v>13</v>
      </c>
      <c r="C19" s="8">
        <f t="shared" si="0"/>
        <v>0</v>
      </c>
      <c r="D19" s="9">
        <f t="shared" si="1"/>
        <v>0</v>
      </c>
      <c r="E19" s="10">
        <f t="shared" si="2"/>
        <v>4495</v>
      </c>
      <c r="G19" s="5">
        <v>66200</v>
      </c>
      <c r="H19" s="6" t="s">
        <v>14</v>
      </c>
      <c r="I19" s="8">
        <v>0</v>
      </c>
      <c r="J19" s="9">
        <v>0</v>
      </c>
      <c r="K19" s="10">
        <v>3600</v>
      </c>
      <c r="M19" s="5">
        <v>66200</v>
      </c>
      <c r="N19" s="6" t="s">
        <v>14</v>
      </c>
      <c r="O19" s="8">
        <v>0.2</v>
      </c>
      <c r="P19" s="9">
        <v>0.02</v>
      </c>
      <c r="Q19" s="10">
        <v>13750</v>
      </c>
      <c r="U19" s="8"/>
      <c r="V19" s="9"/>
      <c r="W19" s="10"/>
    </row>
    <row r="20" spans="1:23" x14ac:dyDescent="0.25">
      <c r="A20" s="5">
        <v>66200</v>
      </c>
      <c r="B20" s="6" t="s">
        <v>14</v>
      </c>
      <c r="C20" s="8">
        <f t="shared" si="0"/>
        <v>0</v>
      </c>
      <c r="D20" s="9">
        <f t="shared" si="1"/>
        <v>0</v>
      </c>
      <c r="E20" s="10">
        <f t="shared" si="2"/>
        <v>13250</v>
      </c>
      <c r="G20" s="5">
        <v>40060</v>
      </c>
      <c r="H20" s="6" t="s">
        <v>112</v>
      </c>
      <c r="I20" s="8">
        <v>0</v>
      </c>
      <c r="J20" s="9">
        <v>0</v>
      </c>
      <c r="K20" s="10">
        <v>390</v>
      </c>
      <c r="M20" s="5">
        <v>40060</v>
      </c>
      <c r="N20" s="6" t="s">
        <v>112</v>
      </c>
      <c r="O20" s="8">
        <v>0</v>
      </c>
      <c r="P20" s="9">
        <v>0</v>
      </c>
      <c r="Q20" s="10">
        <v>395</v>
      </c>
      <c r="U20" s="8"/>
      <c r="V20" s="9"/>
      <c r="W20" s="10"/>
    </row>
    <row r="21" spans="1:23" x14ac:dyDescent="0.25">
      <c r="C21" s="8"/>
      <c r="D21" s="9"/>
      <c r="E21" s="10"/>
      <c r="I21" s="8"/>
      <c r="J21" s="9"/>
      <c r="K21" s="10"/>
      <c r="O21" s="8"/>
      <c r="P21" s="9"/>
      <c r="Q21" s="10"/>
      <c r="U21" s="8"/>
      <c r="V21" s="9"/>
      <c r="W21" s="10"/>
    </row>
    <row r="22" spans="1:23" x14ac:dyDescent="0.25">
      <c r="C22" s="8"/>
      <c r="D22" s="9"/>
      <c r="E22" s="10"/>
      <c r="I22" s="8"/>
      <c r="J22" s="9"/>
      <c r="K22" s="10"/>
      <c r="O22" s="8"/>
      <c r="P22" s="9"/>
      <c r="Q22" s="10"/>
      <c r="U22" s="8"/>
      <c r="V22" s="9"/>
      <c r="W22" s="10"/>
    </row>
    <row r="23" spans="1:23" ht="16.5" thickBot="1" x14ac:dyDescent="0.3">
      <c r="B23" s="11" t="s">
        <v>6</v>
      </c>
      <c r="C23" s="12">
        <f>SUM(C6:C22)</f>
        <v>1000</v>
      </c>
      <c r="D23" s="13">
        <f>SUM(D6:D22)</f>
        <v>100</v>
      </c>
      <c r="E23" s="37" cm="1">
        <f t="array" ref="E23">SUMPRODUCT(C6:C22,E6:E22/1000)</f>
        <v>498.48111580000005</v>
      </c>
      <c r="H23" s="11" t="s">
        <v>6</v>
      </c>
      <c r="I23" s="12">
        <v>1000</v>
      </c>
      <c r="J23" s="13">
        <v>99.999999999999986</v>
      </c>
      <c r="K23" s="37">
        <v>498.76723027999998</v>
      </c>
      <c r="N23" s="11" t="s">
        <v>6</v>
      </c>
      <c r="O23" s="12">
        <v>1000</v>
      </c>
      <c r="P23" s="13">
        <v>100.00000000000001</v>
      </c>
      <c r="Q23" s="37">
        <v>479.10194640000009</v>
      </c>
      <c r="T23" s="11" t="s">
        <v>6</v>
      </c>
      <c r="U23" s="12">
        <v>999.99999999999989</v>
      </c>
      <c r="V23" s="13">
        <v>100</v>
      </c>
      <c r="W23" s="37">
        <v>426.83122623760011</v>
      </c>
    </row>
    <row r="24" spans="1:23" x14ac:dyDescent="0.25">
      <c r="C24"/>
      <c r="D24"/>
      <c r="E24" s="201">
        <f>E23-K23</f>
        <v>-0.28611447999992379</v>
      </c>
      <c r="I24"/>
      <c r="J24"/>
      <c r="K24" s="201">
        <v>19.66528387999989</v>
      </c>
      <c r="O24"/>
      <c r="P24"/>
      <c r="Q24" s="201"/>
      <c r="U24"/>
      <c r="V24"/>
      <c r="W24" s="201"/>
    </row>
    <row r="25" spans="1:23" ht="16.5" thickBot="1" x14ac:dyDescent="0.3">
      <c r="C25"/>
      <c r="D25"/>
      <c r="E25" s="187"/>
      <c r="I25"/>
      <c r="J25"/>
      <c r="K25" s="187"/>
      <c r="O25"/>
      <c r="P25"/>
      <c r="Q25" s="187"/>
      <c r="U25"/>
      <c r="V25"/>
      <c r="W25" s="187"/>
    </row>
    <row r="26" spans="1:23" x14ac:dyDescent="0.25">
      <c r="B26" s="14" t="s">
        <v>7</v>
      </c>
      <c r="C26" s="14" t="s">
        <v>8</v>
      </c>
      <c r="D26" s="14" t="s">
        <v>9</v>
      </c>
      <c r="E26"/>
      <c r="H26" s="14" t="s">
        <v>7</v>
      </c>
      <c r="I26" s="14" t="s">
        <v>8</v>
      </c>
      <c r="J26" s="14" t="s">
        <v>9</v>
      </c>
      <c r="K26"/>
      <c r="N26" s="14" t="s">
        <v>7</v>
      </c>
      <c r="O26" s="14" t="s">
        <v>8</v>
      </c>
      <c r="P26" s="14" t="s">
        <v>9</v>
      </c>
      <c r="Q26"/>
      <c r="T26" s="14" t="s">
        <v>7</v>
      </c>
      <c r="U26" s="14" t="s">
        <v>8</v>
      </c>
      <c r="V26" s="14" t="s">
        <v>9</v>
      </c>
      <c r="W26"/>
    </row>
    <row r="27" spans="1:23" x14ac:dyDescent="0.25">
      <c r="B27" s="6" t="s">
        <v>18</v>
      </c>
      <c r="C27" s="6" t="s">
        <v>19</v>
      </c>
      <c r="D27" s="178">
        <f t="shared" ref="D27:D58" si="3">IFERROR(VLOOKUP(B27,raw_2,2,FALSE),0)</f>
        <v>100</v>
      </c>
      <c r="H27" s="6" t="s">
        <v>18</v>
      </c>
      <c r="I27" s="6" t="s">
        <v>19</v>
      </c>
      <c r="J27" s="178">
        <v>100</v>
      </c>
      <c r="N27" s="6" t="s">
        <v>18</v>
      </c>
      <c r="O27" s="6" t="s">
        <v>19</v>
      </c>
      <c r="P27" s="178">
        <v>100</v>
      </c>
      <c r="T27" s="6" t="s">
        <v>18</v>
      </c>
      <c r="U27" s="6" t="s">
        <v>19</v>
      </c>
      <c r="V27" s="178">
        <v>100</v>
      </c>
    </row>
    <row r="28" spans="1:23" x14ac:dyDescent="0.25">
      <c r="B28" s="6" t="s">
        <v>20</v>
      </c>
      <c r="C28" s="6" t="s">
        <v>19</v>
      </c>
      <c r="D28" s="178">
        <f t="shared" si="3"/>
        <v>88.149283999999994</v>
      </c>
      <c r="H28" s="6" t="s">
        <v>20</v>
      </c>
      <c r="I28" s="6" t="s">
        <v>19</v>
      </c>
      <c r="J28" s="178">
        <v>88.653509999999997</v>
      </c>
      <c r="N28" s="6" t="s">
        <v>20</v>
      </c>
      <c r="O28" s="6" t="s">
        <v>19</v>
      </c>
      <c r="P28" s="178">
        <v>88.311419000000001</v>
      </c>
      <c r="T28" s="6" t="s">
        <v>20</v>
      </c>
      <c r="U28" s="6" t="s">
        <v>19</v>
      </c>
      <c r="V28" s="178">
        <v>88.209725000000006</v>
      </c>
    </row>
    <row r="29" spans="1:23" x14ac:dyDescent="0.25">
      <c r="B29" s="6" t="s">
        <v>21</v>
      </c>
      <c r="C29" s="6" t="s">
        <v>19</v>
      </c>
      <c r="D29" s="178">
        <f t="shared" si="3"/>
        <v>17.603186999999998</v>
      </c>
      <c r="H29" s="6" t="s">
        <v>21</v>
      </c>
      <c r="I29" s="6" t="s">
        <v>19</v>
      </c>
      <c r="J29" s="178">
        <v>17.587247999999999</v>
      </c>
      <c r="N29" s="6" t="s">
        <v>21</v>
      </c>
      <c r="O29" s="6" t="s">
        <v>19</v>
      </c>
      <c r="P29" s="178">
        <v>17.577777999999999</v>
      </c>
      <c r="T29" s="6" t="s">
        <v>21</v>
      </c>
      <c r="U29" s="6" t="s">
        <v>19</v>
      </c>
      <c r="V29" s="178">
        <v>17.236208999999999</v>
      </c>
    </row>
    <row r="30" spans="1:23" x14ac:dyDescent="0.25">
      <c r="B30" s="6" t="s">
        <v>22</v>
      </c>
      <c r="C30" s="6" t="s">
        <v>19</v>
      </c>
      <c r="D30" s="178">
        <f t="shared" si="3"/>
        <v>4.4115950000000002</v>
      </c>
      <c r="H30" s="6" t="s">
        <v>22</v>
      </c>
      <c r="I30" s="6" t="s">
        <v>19</v>
      </c>
      <c r="J30" s="178">
        <v>4.0561769999999999</v>
      </c>
      <c r="N30" s="6" t="s">
        <v>22</v>
      </c>
      <c r="O30" s="6" t="s">
        <v>19</v>
      </c>
      <c r="P30" s="178">
        <v>3.5396619999999999</v>
      </c>
      <c r="T30" s="6" t="s">
        <v>22</v>
      </c>
      <c r="U30" s="6" t="s">
        <v>19</v>
      </c>
      <c r="V30" s="178">
        <v>2.9983360000000001</v>
      </c>
    </row>
    <row r="31" spans="1:23" x14ac:dyDescent="0.25">
      <c r="B31" s="15" t="s">
        <v>23</v>
      </c>
      <c r="C31" s="15" t="s">
        <v>19</v>
      </c>
      <c r="D31" s="179">
        <f t="shared" si="3"/>
        <v>3.8462079999999998</v>
      </c>
      <c r="H31" s="15" t="s">
        <v>23</v>
      </c>
      <c r="I31" s="15" t="s">
        <v>19</v>
      </c>
      <c r="J31" s="179">
        <v>3.4997060000000002</v>
      </c>
      <c r="N31" s="15" t="s">
        <v>23</v>
      </c>
      <c r="O31" s="15" t="s">
        <v>19</v>
      </c>
      <c r="P31" s="179">
        <v>4.2209519999999996</v>
      </c>
      <c r="T31" s="15" t="s">
        <v>23</v>
      </c>
      <c r="U31" s="15" t="s">
        <v>19</v>
      </c>
      <c r="V31" s="179">
        <v>3.9307319999999999</v>
      </c>
    </row>
    <row r="32" spans="1:23" x14ac:dyDescent="0.25">
      <c r="B32" s="6" t="s">
        <v>24</v>
      </c>
      <c r="C32" s="6" t="s">
        <v>19</v>
      </c>
      <c r="D32" s="178">
        <f t="shared" si="3"/>
        <v>5.4259829999999996</v>
      </c>
      <c r="H32" s="6" t="s">
        <v>24</v>
      </c>
      <c r="I32" s="6" t="s">
        <v>19</v>
      </c>
      <c r="J32" s="178">
        <v>5.4203979999999996</v>
      </c>
      <c r="N32" s="6" t="s">
        <v>24</v>
      </c>
      <c r="O32" s="6" t="s">
        <v>19</v>
      </c>
      <c r="P32" s="178">
        <v>5.2483899999999997</v>
      </c>
      <c r="T32" s="6" t="s">
        <v>24</v>
      </c>
      <c r="U32" s="6" t="s">
        <v>19</v>
      </c>
      <c r="V32" s="178">
        <v>5.153016</v>
      </c>
    </row>
    <row r="33" spans="1:23" x14ac:dyDescent="0.25">
      <c r="B33" s="6" t="s">
        <v>25</v>
      </c>
      <c r="C33" s="6" t="s">
        <v>19</v>
      </c>
      <c r="D33" s="178">
        <f t="shared" si="3"/>
        <v>11.850716</v>
      </c>
      <c r="H33" s="6" t="s">
        <v>25</v>
      </c>
      <c r="I33" s="6" t="s">
        <v>19</v>
      </c>
      <c r="J33" s="178">
        <v>11.346489999999999</v>
      </c>
      <c r="N33" s="6" t="s">
        <v>25</v>
      </c>
      <c r="O33" s="6" t="s">
        <v>19</v>
      </c>
      <c r="P33" s="178">
        <v>11.688580999999999</v>
      </c>
      <c r="T33" s="6" t="s">
        <v>25</v>
      </c>
      <c r="U33" s="6" t="s">
        <v>19</v>
      </c>
      <c r="V33" s="178">
        <v>11.790274999999999</v>
      </c>
    </row>
    <row r="34" spans="1:23" x14ac:dyDescent="0.25">
      <c r="B34" s="6" t="s">
        <v>178</v>
      </c>
      <c r="C34" s="6" t="s">
        <v>19</v>
      </c>
      <c r="D34" s="178">
        <f t="shared" si="3"/>
        <v>56.769838999999997</v>
      </c>
      <c r="H34" s="6" t="s">
        <v>178</v>
      </c>
      <c r="I34" s="6" t="s">
        <v>19</v>
      </c>
      <c r="J34" s="178">
        <v>57.998420000000003</v>
      </c>
      <c r="N34" s="6" t="s">
        <v>178</v>
      </c>
      <c r="O34" s="6" t="s">
        <v>19</v>
      </c>
      <c r="P34" s="178">
        <v>57.632815999999998</v>
      </c>
      <c r="T34" s="6" t="s">
        <v>178</v>
      </c>
      <c r="U34" s="6" t="s">
        <v>19</v>
      </c>
      <c r="V34" s="178">
        <v>58.798647000000003</v>
      </c>
    </row>
    <row r="35" spans="1:23" x14ac:dyDescent="0.25">
      <c r="B35" s="6" t="s">
        <v>26</v>
      </c>
      <c r="C35" s="6" t="s">
        <v>19</v>
      </c>
      <c r="D35" s="178">
        <f t="shared" si="3"/>
        <v>13.136163</v>
      </c>
      <c r="H35" s="6" t="s">
        <v>26</v>
      </c>
      <c r="I35" s="6" t="s">
        <v>19</v>
      </c>
      <c r="J35" s="178">
        <v>14.685883</v>
      </c>
      <c r="N35" s="6" t="s">
        <v>26</v>
      </c>
      <c r="O35" s="6" t="s">
        <v>19</v>
      </c>
      <c r="P35" s="178">
        <v>13.855518999999999</v>
      </c>
      <c r="T35" s="6" t="s">
        <v>26</v>
      </c>
      <c r="U35" s="6" t="s">
        <v>19</v>
      </c>
      <c r="V35" s="178">
        <v>12.12388</v>
      </c>
    </row>
    <row r="36" spans="1:23" x14ac:dyDescent="0.25">
      <c r="B36" s="6" t="s">
        <v>27</v>
      </c>
      <c r="C36" s="6" t="s">
        <v>19</v>
      </c>
      <c r="D36" s="178">
        <f t="shared" si="3"/>
        <v>5.2425160000000002</v>
      </c>
      <c r="H36" s="6" t="s">
        <v>27</v>
      </c>
      <c r="I36" s="6" t="s">
        <v>19</v>
      </c>
      <c r="J36" s="178">
        <v>4.896706</v>
      </c>
      <c r="N36" s="6" t="s">
        <v>27</v>
      </c>
      <c r="O36" s="6" t="s">
        <v>19</v>
      </c>
      <c r="P36" s="178">
        <v>5.5751359999999996</v>
      </c>
      <c r="T36" s="6" t="s">
        <v>27</v>
      </c>
      <c r="U36" s="6" t="s">
        <v>19</v>
      </c>
      <c r="V36" s="178">
        <v>4.7517740000000002</v>
      </c>
    </row>
    <row r="37" spans="1:23" x14ac:dyDescent="0.25">
      <c r="B37" s="6" t="s">
        <v>179</v>
      </c>
      <c r="C37" s="6" t="s">
        <v>19</v>
      </c>
      <c r="D37" s="178">
        <f t="shared" si="3"/>
        <v>17.675421</v>
      </c>
      <c r="H37" s="6" t="s">
        <v>179</v>
      </c>
      <c r="I37" s="6" t="s">
        <v>19</v>
      </c>
      <c r="J37" s="178">
        <v>14.509741</v>
      </c>
      <c r="N37" s="6" t="s">
        <v>179</v>
      </c>
      <c r="O37" s="6" t="s">
        <v>19</v>
      </c>
      <c r="P37" s="178">
        <v>12.79008</v>
      </c>
      <c r="T37" s="6" t="s">
        <v>179</v>
      </c>
      <c r="U37" s="6" t="s">
        <v>19</v>
      </c>
      <c r="V37" s="178">
        <v>10.450917</v>
      </c>
    </row>
    <row r="38" spans="1:23" x14ac:dyDescent="0.25">
      <c r="B38" s="6" t="s">
        <v>28</v>
      </c>
      <c r="C38" s="6" t="s">
        <v>19</v>
      </c>
      <c r="D38" s="178">
        <f t="shared" si="3"/>
        <v>41.522354999999997</v>
      </c>
      <c r="H38" s="6" t="s">
        <v>28</v>
      </c>
      <c r="I38" s="6" t="s">
        <v>19</v>
      </c>
      <c r="J38" s="178">
        <v>40.209682999999998</v>
      </c>
      <c r="N38" s="6" t="s">
        <v>28</v>
      </c>
      <c r="O38" s="6" t="s">
        <v>19</v>
      </c>
      <c r="P38" s="178">
        <v>42.452345999999999</v>
      </c>
      <c r="T38" s="6" t="s">
        <v>28</v>
      </c>
      <c r="U38" s="6" t="s">
        <v>19</v>
      </c>
      <c r="V38" s="178">
        <v>45.555219999999998</v>
      </c>
    </row>
    <row r="39" spans="1:23" x14ac:dyDescent="0.25">
      <c r="B39" s="6" t="s">
        <v>180</v>
      </c>
      <c r="C39" s="6" t="s">
        <v>19</v>
      </c>
      <c r="D39" s="178">
        <f t="shared" si="3"/>
        <v>2.7996720000000002</v>
      </c>
      <c r="H39" s="6" t="s">
        <v>180</v>
      </c>
      <c r="I39" s="6" t="s">
        <v>19</v>
      </c>
      <c r="J39" s="178">
        <v>2.8743530000000002</v>
      </c>
      <c r="N39" s="6" t="s">
        <v>180</v>
      </c>
      <c r="O39" s="6" t="s">
        <v>19</v>
      </c>
      <c r="P39" s="178">
        <v>2.6374749999999998</v>
      </c>
      <c r="T39" s="6" t="s">
        <v>180</v>
      </c>
      <c r="U39" s="6" t="s">
        <v>19</v>
      </c>
      <c r="V39" s="178">
        <v>3.1314069999999998</v>
      </c>
    </row>
    <row r="40" spans="1:23" x14ac:dyDescent="0.25">
      <c r="B40" s="6" t="s">
        <v>119</v>
      </c>
      <c r="C40" s="6" t="s">
        <v>19</v>
      </c>
      <c r="D40" s="178">
        <f t="shared" si="3"/>
        <v>0</v>
      </c>
      <c r="H40" s="6" t="s">
        <v>119</v>
      </c>
      <c r="I40" s="6" t="s">
        <v>19</v>
      </c>
      <c r="J40" s="178">
        <v>0</v>
      </c>
      <c r="N40" s="6" t="s">
        <v>119</v>
      </c>
      <c r="O40" s="6" t="s">
        <v>19</v>
      </c>
      <c r="P40" s="178">
        <v>0</v>
      </c>
      <c r="T40" s="6" t="s">
        <v>119</v>
      </c>
      <c r="U40" s="6" t="s">
        <v>19</v>
      </c>
      <c r="V40" s="178">
        <v>0</v>
      </c>
    </row>
    <row r="41" spans="1:23" x14ac:dyDescent="0.25">
      <c r="B41" s="6" t="s">
        <v>29</v>
      </c>
      <c r="C41" s="6" t="s">
        <v>30</v>
      </c>
      <c r="D41" s="178">
        <f t="shared" si="3"/>
        <v>3.3463159999999998</v>
      </c>
      <c r="H41" s="6" t="s">
        <v>29</v>
      </c>
      <c r="I41" s="6" t="s">
        <v>30</v>
      </c>
      <c r="J41" s="178">
        <v>3.3530220000000002</v>
      </c>
      <c r="N41" s="6" t="s">
        <v>29</v>
      </c>
      <c r="O41" s="6" t="s">
        <v>30</v>
      </c>
      <c r="P41" s="178">
        <v>3.3380290000000001</v>
      </c>
      <c r="T41" s="6" t="s">
        <v>29</v>
      </c>
      <c r="U41" s="6" t="s">
        <v>30</v>
      </c>
      <c r="V41" s="178">
        <v>3.3274080000000001</v>
      </c>
    </row>
    <row r="42" spans="1:23" x14ac:dyDescent="0.25">
      <c r="B42" s="6" t="s">
        <v>31</v>
      </c>
      <c r="C42" s="6" t="s">
        <v>30</v>
      </c>
      <c r="D42" s="178">
        <f t="shared" si="3"/>
        <v>3.2112889999999998</v>
      </c>
      <c r="H42" s="6" t="s">
        <v>31</v>
      </c>
      <c r="I42" s="6" t="s">
        <v>30</v>
      </c>
      <c r="J42" s="178">
        <v>3.215427</v>
      </c>
      <c r="N42" s="6" t="s">
        <v>31</v>
      </c>
      <c r="O42" s="6" t="s">
        <v>30</v>
      </c>
      <c r="P42" s="178">
        <v>3.2043529999999998</v>
      </c>
      <c r="T42" s="6" t="s">
        <v>31</v>
      </c>
      <c r="U42" s="6" t="s">
        <v>30</v>
      </c>
      <c r="V42" s="178">
        <v>3.1894680000000002</v>
      </c>
    </row>
    <row r="43" spans="1:23" x14ac:dyDescent="0.25">
      <c r="B43" s="15" t="s">
        <v>32</v>
      </c>
      <c r="C43" s="15" t="s">
        <v>30</v>
      </c>
      <c r="D43" s="179">
        <f t="shared" si="3"/>
        <v>2.4052859999999998</v>
      </c>
      <c r="H43" s="15" t="s">
        <v>32</v>
      </c>
      <c r="I43" s="15" t="s">
        <v>30</v>
      </c>
      <c r="J43" s="179">
        <v>2.4005649999999998</v>
      </c>
      <c r="N43" s="15" t="s">
        <v>32</v>
      </c>
      <c r="O43" s="15" t="s">
        <v>30</v>
      </c>
      <c r="P43" s="179">
        <v>2.4001130000000002</v>
      </c>
      <c r="T43" s="15" t="s">
        <v>32</v>
      </c>
      <c r="U43" s="15" t="s">
        <v>30</v>
      </c>
      <c r="V43" s="179">
        <v>2.4005010000000002</v>
      </c>
    </row>
    <row r="44" spans="1:23" x14ac:dyDescent="0.25">
      <c r="B44" s="6" t="s">
        <v>33</v>
      </c>
      <c r="C44" s="6" t="s">
        <v>30</v>
      </c>
      <c r="D44" s="178">
        <f t="shared" si="3"/>
        <v>2.4936699999999998</v>
      </c>
      <c r="H44" s="6" t="s">
        <v>33</v>
      </c>
      <c r="I44" s="6" t="s">
        <v>30</v>
      </c>
      <c r="J44" s="178">
        <v>2.4548290000000001</v>
      </c>
      <c r="N44" s="6" t="s">
        <v>33</v>
      </c>
      <c r="O44" s="6" t="s">
        <v>30</v>
      </c>
      <c r="P44" s="178">
        <v>2.441837</v>
      </c>
      <c r="T44" s="6" t="s">
        <v>33</v>
      </c>
      <c r="U44" s="6" t="s">
        <v>30</v>
      </c>
      <c r="V44" s="178">
        <v>2.4384540000000001</v>
      </c>
    </row>
    <row r="45" spans="1:23" x14ac:dyDescent="0.25">
      <c r="B45" s="15" t="s">
        <v>34</v>
      </c>
      <c r="C45" s="15" t="s">
        <v>19</v>
      </c>
      <c r="D45" s="179">
        <f t="shared" si="3"/>
        <v>0.86604300000000001</v>
      </c>
      <c r="H45" s="15" t="s">
        <v>34</v>
      </c>
      <c r="I45" s="15" t="s">
        <v>19</v>
      </c>
      <c r="J45" s="179">
        <v>0.84491899999999998</v>
      </c>
      <c r="N45" s="15" t="s">
        <v>34</v>
      </c>
      <c r="O45" s="15" t="s">
        <v>19</v>
      </c>
      <c r="P45" s="179">
        <v>0.85327399999999998</v>
      </c>
      <c r="T45" s="15" t="s">
        <v>34</v>
      </c>
      <c r="U45" s="15" t="s">
        <v>19</v>
      </c>
      <c r="V45" s="179">
        <v>0.84402999999999995</v>
      </c>
    </row>
    <row r="46" spans="1:23" s="36" customFormat="1" x14ac:dyDescent="0.25">
      <c r="A46" s="35"/>
      <c r="B46" s="18" t="s">
        <v>225</v>
      </c>
      <c r="C46" s="18" t="s">
        <v>19</v>
      </c>
      <c r="D46" s="180">
        <f t="shared" si="3"/>
        <v>0</v>
      </c>
      <c r="E46" s="180"/>
      <c r="G46" s="35"/>
      <c r="H46" s="18" t="s">
        <v>225</v>
      </c>
      <c r="I46" s="18" t="s">
        <v>19</v>
      </c>
      <c r="J46" s="180">
        <v>0</v>
      </c>
      <c r="K46" s="180"/>
      <c r="M46" s="35"/>
      <c r="N46" s="18" t="s">
        <v>225</v>
      </c>
      <c r="O46" s="18" t="s">
        <v>19</v>
      </c>
      <c r="P46" s="180">
        <v>0</v>
      </c>
      <c r="Q46" s="180"/>
      <c r="S46" s="35"/>
      <c r="T46" s="18" t="s">
        <v>225</v>
      </c>
      <c r="U46" s="18" t="s">
        <v>19</v>
      </c>
      <c r="V46" s="180">
        <v>0</v>
      </c>
      <c r="W46" s="180"/>
    </row>
    <row r="47" spans="1:23" s="36" customFormat="1" x14ac:dyDescent="0.25">
      <c r="A47" s="35"/>
      <c r="B47" s="18" t="s">
        <v>226</v>
      </c>
      <c r="C47" s="18" t="s">
        <v>19</v>
      </c>
      <c r="D47" s="180">
        <f t="shared" si="3"/>
        <v>0</v>
      </c>
      <c r="E47" s="180"/>
      <c r="G47" s="35"/>
      <c r="H47" s="18" t="s">
        <v>226</v>
      </c>
      <c r="I47" s="18" t="s">
        <v>19</v>
      </c>
      <c r="J47" s="180">
        <v>0</v>
      </c>
      <c r="K47" s="180"/>
      <c r="M47" s="35"/>
      <c r="N47" s="18" t="s">
        <v>226</v>
      </c>
      <c r="O47" s="18" t="s">
        <v>19</v>
      </c>
      <c r="P47" s="180">
        <v>0</v>
      </c>
      <c r="Q47" s="180"/>
      <c r="S47" s="35"/>
      <c r="T47" s="18" t="s">
        <v>226</v>
      </c>
      <c r="U47" s="18" t="s">
        <v>19</v>
      </c>
      <c r="V47" s="180">
        <v>0</v>
      </c>
      <c r="W47" s="180"/>
    </row>
    <row r="48" spans="1:23" x14ac:dyDescent="0.25">
      <c r="B48" s="6" t="s">
        <v>35</v>
      </c>
      <c r="C48" s="6" t="s">
        <v>19</v>
      </c>
      <c r="D48" s="178">
        <f t="shared" si="3"/>
        <v>0.57786400000000004</v>
      </c>
      <c r="H48" s="6" t="s">
        <v>35</v>
      </c>
      <c r="I48" s="6" t="s">
        <v>19</v>
      </c>
      <c r="J48" s="178">
        <v>0.56303199999999998</v>
      </c>
      <c r="N48" s="6" t="s">
        <v>35</v>
      </c>
      <c r="O48" s="6" t="s">
        <v>19</v>
      </c>
      <c r="P48" s="178">
        <v>0.55522400000000005</v>
      </c>
      <c r="T48" s="6" t="s">
        <v>35</v>
      </c>
      <c r="U48" s="6" t="s">
        <v>19</v>
      </c>
      <c r="V48" s="178">
        <v>0.54958399999999996</v>
      </c>
    </row>
    <row r="49" spans="2:23" x14ac:dyDescent="0.25">
      <c r="B49" s="15" t="s">
        <v>36</v>
      </c>
      <c r="C49" s="15" t="s">
        <v>19</v>
      </c>
      <c r="D49" s="179">
        <f t="shared" si="3"/>
        <v>0.45179900000000001</v>
      </c>
      <c r="H49" s="15" t="s">
        <v>36</v>
      </c>
      <c r="I49" s="15" t="s">
        <v>19</v>
      </c>
      <c r="J49" s="179">
        <v>0.45320199999999999</v>
      </c>
      <c r="N49" s="15" t="s">
        <v>36</v>
      </c>
      <c r="O49" s="15" t="s">
        <v>19</v>
      </c>
      <c r="P49" s="179">
        <v>0.45074999999999998</v>
      </c>
      <c r="T49" s="15" t="s">
        <v>36</v>
      </c>
      <c r="U49" s="15" t="s">
        <v>19</v>
      </c>
      <c r="V49" s="179">
        <v>0.44697500000000001</v>
      </c>
    </row>
    <row r="50" spans="2:23" x14ac:dyDescent="0.25">
      <c r="B50" s="6" t="s">
        <v>37</v>
      </c>
      <c r="C50" s="6" t="s">
        <v>19</v>
      </c>
      <c r="D50" s="178">
        <f t="shared" si="3"/>
        <v>0.35926400000000003</v>
      </c>
      <c r="H50" s="6" t="s">
        <v>37</v>
      </c>
      <c r="I50" s="6" t="s">
        <v>19</v>
      </c>
      <c r="J50" s="178">
        <v>0.350381</v>
      </c>
      <c r="N50" s="6" t="s">
        <v>37</v>
      </c>
      <c r="O50" s="6" t="s">
        <v>19</v>
      </c>
      <c r="P50" s="178">
        <v>0.347522</v>
      </c>
      <c r="T50" s="6" t="s">
        <v>37</v>
      </c>
      <c r="U50" s="6" t="s">
        <v>19</v>
      </c>
      <c r="V50" s="178">
        <v>0.33486500000000002</v>
      </c>
    </row>
    <row r="51" spans="2:23" x14ac:dyDescent="0.25">
      <c r="B51" s="6" t="s">
        <v>38</v>
      </c>
      <c r="C51" s="6" t="s">
        <v>19</v>
      </c>
      <c r="D51" s="178">
        <f t="shared" si="3"/>
        <v>0.45751700000000001</v>
      </c>
      <c r="H51" s="6" t="s">
        <v>38</v>
      </c>
      <c r="I51" s="6" t="s">
        <v>19</v>
      </c>
      <c r="J51" s="178">
        <v>0.48030400000000001</v>
      </c>
      <c r="N51" s="6" t="s">
        <v>38</v>
      </c>
      <c r="O51" s="6" t="s">
        <v>19</v>
      </c>
      <c r="P51" s="178">
        <v>0.46645500000000001</v>
      </c>
      <c r="T51" s="6" t="s">
        <v>38</v>
      </c>
      <c r="U51" s="6" t="s">
        <v>19</v>
      </c>
      <c r="V51" s="178">
        <v>0.46030599999999999</v>
      </c>
    </row>
    <row r="52" spans="2:23" x14ac:dyDescent="0.25">
      <c r="B52" s="6" t="s">
        <v>39</v>
      </c>
      <c r="C52" s="6" t="s">
        <v>19</v>
      </c>
      <c r="D52" s="178">
        <f t="shared" si="3"/>
        <v>0.24806400000000001</v>
      </c>
      <c r="H52" s="6" t="s">
        <v>39</v>
      </c>
      <c r="I52" s="6" t="s">
        <v>19</v>
      </c>
      <c r="J52" s="178">
        <v>0.23183000000000001</v>
      </c>
      <c r="N52" s="6" t="s">
        <v>39</v>
      </c>
      <c r="O52" s="6" t="s">
        <v>19</v>
      </c>
      <c r="P52" s="178">
        <v>0.22647300000000001</v>
      </c>
      <c r="T52" s="6" t="s">
        <v>39</v>
      </c>
      <c r="U52" s="6" t="s">
        <v>19</v>
      </c>
      <c r="V52" s="178">
        <v>0.224609</v>
      </c>
    </row>
    <row r="53" spans="2:23" x14ac:dyDescent="0.25">
      <c r="B53" s="15" t="s">
        <v>40</v>
      </c>
      <c r="C53" s="15" t="s">
        <v>19</v>
      </c>
      <c r="D53" s="179">
        <f t="shared" si="3"/>
        <v>0.122</v>
      </c>
      <c r="H53" s="15" t="s">
        <v>40</v>
      </c>
      <c r="I53" s="15" t="s">
        <v>19</v>
      </c>
      <c r="J53" s="179">
        <v>0.122</v>
      </c>
      <c r="N53" s="15" t="s">
        <v>40</v>
      </c>
      <c r="O53" s="15" t="s">
        <v>19</v>
      </c>
      <c r="P53" s="179">
        <v>0.122</v>
      </c>
      <c r="T53" s="15" t="s">
        <v>40</v>
      </c>
      <c r="U53" s="15" t="s">
        <v>19</v>
      </c>
      <c r="V53" s="179">
        <v>0.122</v>
      </c>
    </row>
    <row r="54" spans="2:23" x14ac:dyDescent="0.25">
      <c r="B54" s="6" t="s">
        <v>41</v>
      </c>
      <c r="C54" s="6" t="s">
        <v>19</v>
      </c>
      <c r="D54" s="178">
        <f t="shared" si="3"/>
        <v>0.10979999999999999</v>
      </c>
      <c r="H54" s="6" t="s">
        <v>41</v>
      </c>
      <c r="I54" s="6" t="s">
        <v>19</v>
      </c>
      <c r="J54" s="178">
        <v>0.10979999999999999</v>
      </c>
      <c r="N54" s="6" t="s">
        <v>41</v>
      </c>
      <c r="O54" s="6" t="s">
        <v>19</v>
      </c>
      <c r="P54" s="178">
        <v>0.10979999999999999</v>
      </c>
      <c r="T54" s="6" t="s">
        <v>41</v>
      </c>
      <c r="U54" s="6" t="s">
        <v>19</v>
      </c>
      <c r="V54" s="178">
        <v>0.10979999999999999</v>
      </c>
    </row>
    <row r="55" spans="2:23" x14ac:dyDescent="0.25">
      <c r="B55" s="6" t="s">
        <v>42</v>
      </c>
      <c r="C55" s="6" t="s">
        <v>19</v>
      </c>
      <c r="D55" s="178">
        <f t="shared" si="3"/>
        <v>0.1159</v>
      </c>
      <c r="H55" s="6" t="s">
        <v>42</v>
      </c>
      <c r="I55" s="6" t="s">
        <v>19</v>
      </c>
      <c r="J55" s="178">
        <v>0.1159</v>
      </c>
      <c r="N55" s="6" t="s">
        <v>42</v>
      </c>
      <c r="O55" s="6" t="s">
        <v>19</v>
      </c>
      <c r="P55" s="178">
        <v>0.1159</v>
      </c>
      <c r="T55" s="6" t="s">
        <v>42</v>
      </c>
      <c r="U55" s="6" t="s">
        <v>19</v>
      </c>
      <c r="V55" s="178">
        <v>0.1159</v>
      </c>
    </row>
    <row r="56" spans="2:23" x14ac:dyDescent="0.25">
      <c r="B56" s="15" t="s">
        <v>43</v>
      </c>
      <c r="C56" s="15" t="s">
        <v>44</v>
      </c>
      <c r="D56" s="186">
        <f t="shared" si="3"/>
        <v>750</v>
      </c>
      <c r="E56" s="185"/>
      <c r="H56" s="15" t="s">
        <v>43</v>
      </c>
      <c r="I56" s="15" t="s">
        <v>44</v>
      </c>
      <c r="J56" s="186">
        <v>750</v>
      </c>
      <c r="K56" s="185"/>
      <c r="N56" s="15" t="s">
        <v>43</v>
      </c>
      <c r="O56" s="15" t="s">
        <v>44</v>
      </c>
      <c r="P56" s="186">
        <v>750</v>
      </c>
      <c r="Q56" s="185"/>
      <c r="T56" s="15" t="s">
        <v>43</v>
      </c>
      <c r="U56" s="15" t="s">
        <v>44</v>
      </c>
      <c r="V56" s="186">
        <v>750</v>
      </c>
      <c r="W56" s="185"/>
    </row>
    <row r="57" spans="2:23" x14ac:dyDescent="0.25">
      <c r="B57" s="176" t="s">
        <v>45</v>
      </c>
      <c r="C57" s="176" t="s">
        <v>46</v>
      </c>
      <c r="D57" s="182">
        <f t="shared" si="3"/>
        <v>1.4986969999999999</v>
      </c>
      <c r="H57" s="176" t="s">
        <v>45</v>
      </c>
      <c r="I57" s="176" t="s">
        <v>46</v>
      </c>
      <c r="J57" s="182">
        <v>1.500659</v>
      </c>
      <c r="N57" s="176" t="s">
        <v>45</v>
      </c>
      <c r="O57" s="176" t="s">
        <v>46</v>
      </c>
      <c r="P57" s="182">
        <v>1.5368120000000001</v>
      </c>
      <c r="T57" s="176" t="s">
        <v>45</v>
      </c>
      <c r="U57" s="176" t="s">
        <v>46</v>
      </c>
      <c r="V57" s="182">
        <v>1.535763</v>
      </c>
    </row>
    <row r="58" spans="2:23" x14ac:dyDescent="0.25">
      <c r="B58" s="6" t="s">
        <v>47</v>
      </c>
      <c r="C58" s="6" t="s">
        <v>46</v>
      </c>
      <c r="D58" s="178">
        <f t="shared" si="3"/>
        <v>1.916874</v>
      </c>
      <c r="H58" s="6" t="s">
        <v>47</v>
      </c>
      <c r="I58" s="6" t="s">
        <v>46</v>
      </c>
      <c r="J58" s="178">
        <v>1.8643320000000001</v>
      </c>
      <c r="N58" s="6" t="s">
        <v>47</v>
      </c>
      <c r="O58" s="6" t="s">
        <v>46</v>
      </c>
      <c r="P58" s="178">
        <v>1.8930070000000001</v>
      </c>
      <c r="T58" s="6" t="s">
        <v>47</v>
      </c>
      <c r="U58" s="6" t="s">
        <v>46</v>
      </c>
      <c r="V58" s="178">
        <v>1.888317</v>
      </c>
    </row>
    <row r="59" spans="2:23" x14ac:dyDescent="0.25">
      <c r="B59" s="6" t="s">
        <v>48</v>
      </c>
      <c r="C59" s="6" t="s">
        <v>46</v>
      </c>
      <c r="D59" s="178">
        <f t="shared" ref="D59:D90" si="4">IFERROR(VLOOKUP(B59,raw_2,2,FALSE),0)</f>
        <v>2.4106010000000002</v>
      </c>
      <c r="H59" s="6" t="s">
        <v>48</v>
      </c>
      <c r="I59" s="6" t="s">
        <v>46</v>
      </c>
      <c r="J59" s="178">
        <v>2.411429</v>
      </c>
      <c r="N59" s="6" t="s">
        <v>48</v>
      </c>
      <c r="O59" s="6" t="s">
        <v>46</v>
      </c>
      <c r="P59" s="178">
        <v>2.4553120000000002</v>
      </c>
      <c r="T59" s="6" t="s">
        <v>48</v>
      </c>
      <c r="U59" s="6" t="s">
        <v>46</v>
      </c>
      <c r="V59" s="178">
        <v>2.5205099999999998</v>
      </c>
    </row>
    <row r="60" spans="2:23" x14ac:dyDescent="0.25">
      <c r="B60" s="6" t="s">
        <v>181</v>
      </c>
      <c r="C60" s="6" t="s">
        <v>46</v>
      </c>
      <c r="D60" s="178">
        <f t="shared" si="4"/>
        <v>1.8929180000000001</v>
      </c>
      <c r="H60" s="6" t="s">
        <v>181</v>
      </c>
      <c r="I60" s="6" t="s">
        <v>46</v>
      </c>
      <c r="J60" s="178">
        <v>1.7591319999999999</v>
      </c>
      <c r="N60" s="6" t="s">
        <v>181</v>
      </c>
      <c r="O60" s="6" t="s">
        <v>46</v>
      </c>
      <c r="P60" s="178">
        <v>1.8292759999999999</v>
      </c>
      <c r="T60" s="6" t="s">
        <v>181</v>
      </c>
      <c r="U60" s="6" t="s">
        <v>46</v>
      </c>
      <c r="V60" s="178">
        <v>1.833629</v>
      </c>
    </row>
    <row r="61" spans="2:23" x14ac:dyDescent="0.25">
      <c r="B61" s="15" t="s">
        <v>49</v>
      </c>
      <c r="C61" s="15" t="s">
        <v>19</v>
      </c>
      <c r="D61" s="179">
        <f t="shared" si="4"/>
        <v>0.21132100000000001</v>
      </c>
      <c r="H61" s="15" t="s">
        <v>49</v>
      </c>
      <c r="I61" s="15" t="s">
        <v>19</v>
      </c>
      <c r="J61" s="179">
        <v>0.20805999999999999</v>
      </c>
      <c r="N61" s="15" t="s">
        <v>49</v>
      </c>
      <c r="O61" s="15" t="s">
        <v>19</v>
      </c>
      <c r="P61" s="179">
        <v>0.20930699999999999</v>
      </c>
      <c r="T61" s="15" t="s">
        <v>49</v>
      </c>
      <c r="U61" s="15" t="s">
        <v>19</v>
      </c>
      <c r="V61" s="179">
        <v>0.21721599999999999</v>
      </c>
    </row>
    <row r="62" spans="2:23" x14ac:dyDescent="0.25">
      <c r="B62" s="6" t="s">
        <v>50</v>
      </c>
      <c r="C62" s="6" t="s">
        <v>19</v>
      </c>
      <c r="D62" s="178">
        <f t="shared" si="4"/>
        <v>0.71705600000000003</v>
      </c>
      <c r="H62" s="6" t="s">
        <v>50</v>
      </c>
      <c r="I62" s="6" t="s">
        <v>19</v>
      </c>
      <c r="J62" s="178">
        <v>0.67287799999999998</v>
      </c>
      <c r="N62" s="6" t="s">
        <v>50</v>
      </c>
      <c r="O62" s="6" t="s">
        <v>19</v>
      </c>
      <c r="P62" s="178">
        <v>0.69020300000000001</v>
      </c>
      <c r="T62" s="6" t="s">
        <v>50</v>
      </c>
      <c r="U62" s="6" t="s">
        <v>19</v>
      </c>
      <c r="V62" s="178">
        <v>0.70894599999999997</v>
      </c>
    </row>
    <row r="63" spans="2:23" x14ac:dyDescent="0.25">
      <c r="B63" s="6" t="s">
        <v>51</v>
      </c>
      <c r="C63" s="6" t="s">
        <v>19</v>
      </c>
      <c r="D63" s="178">
        <f t="shared" si="4"/>
        <v>0.328656</v>
      </c>
      <c r="H63" s="6" t="s">
        <v>51</v>
      </c>
      <c r="I63" s="6" t="s">
        <v>19</v>
      </c>
      <c r="J63" s="178">
        <v>0.34597899999999998</v>
      </c>
      <c r="N63" s="6" t="s">
        <v>51</v>
      </c>
      <c r="O63" s="6" t="s">
        <v>19</v>
      </c>
      <c r="P63" s="178">
        <v>0.34051700000000001</v>
      </c>
      <c r="T63" s="6" t="s">
        <v>51</v>
      </c>
      <c r="U63" s="6" t="s">
        <v>19</v>
      </c>
      <c r="V63" s="178">
        <v>0.37065900000000002</v>
      </c>
    </row>
    <row r="64" spans="2:23" x14ac:dyDescent="0.25">
      <c r="B64" s="6" t="s">
        <v>52</v>
      </c>
      <c r="C64" s="6" t="s">
        <v>19</v>
      </c>
      <c r="D64" s="178">
        <f t="shared" si="4"/>
        <v>0.19839000000000001</v>
      </c>
      <c r="H64" s="6" t="s">
        <v>52</v>
      </c>
      <c r="I64" s="6" t="s">
        <v>19</v>
      </c>
      <c r="J64" s="178">
        <v>0.20235700000000001</v>
      </c>
      <c r="N64" s="6" t="s">
        <v>52</v>
      </c>
      <c r="O64" s="6" t="s">
        <v>19</v>
      </c>
      <c r="P64" s="178">
        <v>0.18956100000000001</v>
      </c>
      <c r="T64" s="6" t="s">
        <v>52</v>
      </c>
      <c r="U64" s="6" t="s">
        <v>19</v>
      </c>
      <c r="V64" s="178">
        <v>0.17302799999999999</v>
      </c>
    </row>
    <row r="65" spans="2:22" x14ac:dyDescent="0.25">
      <c r="B65" s="6" t="s">
        <v>53</v>
      </c>
      <c r="C65" s="6" t="s">
        <v>19</v>
      </c>
      <c r="D65" s="178">
        <f t="shared" si="4"/>
        <v>0.27840599999999999</v>
      </c>
      <c r="H65" s="6" t="s">
        <v>53</v>
      </c>
      <c r="I65" s="6" t="s">
        <v>19</v>
      </c>
      <c r="J65" s="178">
        <v>0.281856</v>
      </c>
      <c r="N65" s="6" t="s">
        <v>53</v>
      </c>
      <c r="O65" s="6" t="s">
        <v>19</v>
      </c>
      <c r="P65" s="178">
        <v>0.30025200000000002</v>
      </c>
      <c r="T65" s="6" t="s">
        <v>53</v>
      </c>
      <c r="U65" s="6" t="s">
        <v>19</v>
      </c>
      <c r="V65" s="178">
        <v>0.249889</v>
      </c>
    </row>
    <row r="66" spans="2:22" x14ac:dyDescent="0.25">
      <c r="B66" s="15" t="s">
        <v>182</v>
      </c>
      <c r="C66" s="15" t="s">
        <v>19</v>
      </c>
      <c r="D66" s="179">
        <f t="shared" si="4"/>
        <v>0.53499099999999999</v>
      </c>
      <c r="H66" s="15" t="s">
        <v>182</v>
      </c>
      <c r="I66" s="15" t="s">
        <v>19</v>
      </c>
      <c r="J66" s="179">
        <v>0.52673300000000001</v>
      </c>
      <c r="N66" s="15" t="s">
        <v>182</v>
      </c>
      <c r="O66" s="15" t="s">
        <v>19</v>
      </c>
      <c r="P66" s="179">
        <v>0.52988999999999997</v>
      </c>
      <c r="T66" s="15" t="s">
        <v>182</v>
      </c>
      <c r="U66" s="15" t="s">
        <v>19</v>
      </c>
      <c r="V66" s="179">
        <v>0.54991400000000001</v>
      </c>
    </row>
    <row r="67" spans="2:22" x14ac:dyDescent="0.25">
      <c r="B67" s="6" t="s">
        <v>183</v>
      </c>
      <c r="C67" s="6" t="s">
        <v>184</v>
      </c>
      <c r="D67" s="178">
        <f t="shared" si="4"/>
        <v>32.467430999999998</v>
      </c>
      <c r="H67" s="6" t="s">
        <v>183</v>
      </c>
      <c r="I67" s="6" t="s">
        <v>184</v>
      </c>
      <c r="J67" s="178">
        <v>20.385833000000002</v>
      </c>
      <c r="N67" s="6" t="s">
        <v>183</v>
      </c>
      <c r="O67" s="6" t="s">
        <v>184</v>
      </c>
      <c r="P67" s="178">
        <v>19.749146</v>
      </c>
      <c r="T67" s="6" t="s">
        <v>183</v>
      </c>
      <c r="U67" s="6" t="s">
        <v>184</v>
      </c>
      <c r="V67" s="178">
        <v>46.899735</v>
      </c>
    </row>
    <row r="68" spans="2:22" x14ac:dyDescent="0.25">
      <c r="B68" s="6" t="s">
        <v>54</v>
      </c>
      <c r="C68" s="6" t="s">
        <v>19</v>
      </c>
      <c r="D68" s="178">
        <f t="shared" si="4"/>
        <v>1.045042</v>
      </c>
      <c r="H68" s="6" t="s">
        <v>54</v>
      </c>
      <c r="I68" s="6" t="s">
        <v>19</v>
      </c>
      <c r="J68" s="178">
        <v>1.019442</v>
      </c>
      <c r="N68" s="6" t="s">
        <v>54</v>
      </c>
      <c r="O68" s="6" t="s">
        <v>19</v>
      </c>
      <c r="P68" s="178">
        <v>1.0301750000000001</v>
      </c>
      <c r="T68" s="6" t="s">
        <v>54</v>
      </c>
      <c r="U68" s="6" t="s">
        <v>19</v>
      </c>
      <c r="V68" s="178">
        <v>1.0121450000000001</v>
      </c>
    </row>
    <row r="69" spans="2:22" x14ac:dyDescent="0.25">
      <c r="B69" s="15" t="s">
        <v>55</v>
      </c>
      <c r="C69" s="15" t="s">
        <v>19</v>
      </c>
      <c r="D69" s="179">
        <f t="shared" si="4"/>
        <v>0.901169</v>
      </c>
      <c r="H69" s="15" t="s">
        <v>55</v>
      </c>
      <c r="I69" s="15" t="s">
        <v>19</v>
      </c>
      <c r="J69" s="179">
        <v>0.900698</v>
      </c>
      <c r="N69" s="15" t="s">
        <v>55</v>
      </c>
      <c r="O69" s="15" t="s">
        <v>19</v>
      </c>
      <c r="P69" s="179">
        <v>0.90044000000000002</v>
      </c>
      <c r="T69" s="15" t="s">
        <v>55</v>
      </c>
      <c r="U69" s="15" t="s">
        <v>19</v>
      </c>
      <c r="V69" s="179">
        <v>0.90037599999999995</v>
      </c>
    </row>
    <row r="70" spans="2:22" x14ac:dyDescent="0.25">
      <c r="B70" s="15" t="s">
        <v>56</v>
      </c>
      <c r="C70" s="15" t="s">
        <v>46</v>
      </c>
      <c r="D70" s="179">
        <f t="shared" si="4"/>
        <v>0.28188099999999999</v>
      </c>
      <c r="H70" s="15" t="s">
        <v>56</v>
      </c>
      <c r="I70" s="15" t="s">
        <v>46</v>
      </c>
      <c r="J70" s="179">
        <v>0.28053699999999998</v>
      </c>
      <c r="N70" s="15" t="s">
        <v>56</v>
      </c>
      <c r="O70" s="15" t="s">
        <v>46</v>
      </c>
      <c r="P70" s="179">
        <v>0.28089799999999998</v>
      </c>
      <c r="T70" s="15" t="s">
        <v>56</v>
      </c>
      <c r="U70" s="15" t="s">
        <v>46</v>
      </c>
      <c r="V70" s="179">
        <v>0.28143400000000002</v>
      </c>
    </row>
    <row r="71" spans="2:22" x14ac:dyDescent="0.25">
      <c r="B71" s="6" t="s">
        <v>57</v>
      </c>
      <c r="C71" s="6" t="s">
        <v>46</v>
      </c>
      <c r="D71" s="178">
        <f t="shared" si="4"/>
        <v>0.27782400000000002</v>
      </c>
      <c r="H71" s="6" t="s">
        <v>57</v>
      </c>
      <c r="I71" s="6" t="s">
        <v>46</v>
      </c>
      <c r="J71" s="178">
        <v>0.30170599999999997</v>
      </c>
      <c r="N71" s="6" t="s">
        <v>57</v>
      </c>
      <c r="O71" s="6" t="s">
        <v>46</v>
      </c>
      <c r="P71" s="178">
        <v>0.26671499999999998</v>
      </c>
      <c r="T71" s="6" t="s">
        <v>57</v>
      </c>
      <c r="U71" s="6" t="s">
        <v>46</v>
      </c>
      <c r="V71" s="178">
        <v>0.267513</v>
      </c>
    </row>
    <row r="72" spans="2:22" x14ac:dyDescent="0.25">
      <c r="B72" s="15" t="s">
        <v>58</v>
      </c>
      <c r="C72" s="15" t="s">
        <v>46</v>
      </c>
      <c r="D72" s="179">
        <f t="shared" si="4"/>
        <v>0.55970500000000001</v>
      </c>
      <c r="H72" s="15" t="s">
        <v>58</v>
      </c>
      <c r="I72" s="15" t="s">
        <v>46</v>
      </c>
      <c r="J72" s="179">
        <v>0.58224299999999996</v>
      </c>
      <c r="N72" s="15" t="s">
        <v>58</v>
      </c>
      <c r="O72" s="15" t="s">
        <v>46</v>
      </c>
      <c r="P72" s="179">
        <v>0.54761300000000002</v>
      </c>
      <c r="T72" s="15" t="s">
        <v>58</v>
      </c>
      <c r="U72" s="15" t="s">
        <v>46</v>
      </c>
      <c r="V72" s="179">
        <v>0.54894600000000005</v>
      </c>
    </row>
    <row r="73" spans="2:22" x14ac:dyDescent="0.25">
      <c r="B73" s="15" t="s">
        <v>59</v>
      </c>
      <c r="C73" s="15" t="s">
        <v>46</v>
      </c>
      <c r="D73" s="179">
        <f t="shared" si="4"/>
        <v>0.64106700000000005</v>
      </c>
      <c r="H73" s="15" t="s">
        <v>59</v>
      </c>
      <c r="I73" s="15" t="s">
        <v>46</v>
      </c>
      <c r="J73" s="179">
        <v>0.64141899999999996</v>
      </c>
      <c r="N73" s="15" t="s">
        <v>59</v>
      </c>
      <c r="O73" s="15" t="s">
        <v>46</v>
      </c>
      <c r="P73" s="179">
        <v>0.63870499999999997</v>
      </c>
      <c r="T73" s="15" t="s">
        <v>59</v>
      </c>
      <c r="U73" s="15" t="s">
        <v>46</v>
      </c>
      <c r="V73" s="179">
        <v>0.64017199999999996</v>
      </c>
    </row>
    <row r="74" spans="2:22" x14ac:dyDescent="0.25">
      <c r="B74" s="15" t="s">
        <v>60</v>
      </c>
      <c r="C74" s="15" t="s">
        <v>46</v>
      </c>
      <c r="D74" s="179">
        <f t="shared" si="4"/>
        <v>0.17005700000000001</v>
      </c>
      <c r="H74" s="15" t="s">
        <v>60</v>
      </c>
      <c r="I74" s="15" t="s">
        <v>46</v>
      </c>
      <c r="J74" s="179">
        <v>0.18690300000000001</v>
      </c>
      <c r="N74" s="15" t="s">
        <v>60</v>
      </c>
      <c r="O74" s="15" t="s">
        <v>46</v>
      </c>
      <c r="P74" s="179">
        <v>0.170099</v>
      </c>
      <c r="T74" s="15" t="s">
        <v>60</v>
      </c>
      <c r="U74" s="15" t="s">
        <v>46</v>
      </c>
      <c r="V74" s="179">
        <v>0.17550399999999999</v>
      </c>
    </row>
    <row r="75" spans="2:22" x14ac:dyDescent="0.25">
      <c r="B75" s="15" t="s">
        <v>61</v>
      </c>
      <c r="C75" s="15" t="s">
        <v>46</v>
      </c>
      <c r="D75" s="179">
        <f t="shared" si="4"/>
        <v>0.641235</v>
      </c>
      <c r="H75" s="15" t="s">
        <v>61</v>
      </c>
      <c r="I75" s="15" t="s">
        <v>46</v>
      </c>
      <c r="J75" s="179">
        <v>0.62828200000000001</v>
      </c>
      <c r="N75" s="15" t="s">
        <v>61</v>
      </c>
      <c r="O75" s="15" t="s">
        <v>46</v>
      </c>
      <c r="P75" s="179">
        <v>0.59466600000000003</v>
      </c>
      <c r="T75" s="15" t="s">
        <v>61</v>
      </c>
      <c r="U75" s="15" t="s">
        <v>46</v>
      </c>
      <c r="V75" s="179">
        <v>0.61582099999999995</v>
      </c>
    </row>
    <row r="76" spans="2:22" x14ac:dyDescent="0.25">
      <c r="B76" s="15" t="s">
        <v>62</v>
      </c>
      <c r="C76" s="15" t="s">
        <v>46</v>
      </c>
      <c r="D76" s="179">
        <f t="shared" si="4"/>
        <v>0.757552</v>
      </c>
      <c r="H76" s="15" t="s">
        <v>62</v>
      </c>
      <c r="I76" s="15" t="s">
        <v>46</v>
      </c>
      <c r="J76" s="179">
        <v>0.74009499999999995</v>
      </c>
      <c r="N76" s="15" t="s">
        <v>62</v>
      </c>
      <c r="O76" s="15" t="s">
        <v>46</v>
      </c>
      <c r="P76" s="179">
        <v>0.700021</v>
      </c>
      <c r="T76" s="15" t="s">
        <v>62</v>
      </c>
      <c r="U76" s="15" t="s">
        <v>46</v>
      </c>
      <c r="V76" s="179">
        <v>0.70006000000000002</v>
      </c>
    </row>
    <row r="77" spans="2:22" x14ac:dyDescent="0.25">
      <c r="B77" s="6" t="s">
        <v>63</v>
      </c>
      <c r="C77" s="6" t="s">
        <v>46</v>
      </c>
      <c r="D77" s="178">
        <f t="shared" si="4"/>
        <v>1.5243420000000001</v>
      </c>
      <c r="H77" s="6" t="s">
        <v>63</v>
      </c>
      <c r="I77" s="6" t="s">
        <v>46</v>
      </c>
      <c r="J77" s="178">
        <v>1.2786329999999999</v>
      </c>
      <c r="N77" s="6" t="s">
        <v>63</v>
      </c>
      <c r="O77" s="6" t="s">
        <v>46</v>
      </c>
      <c r="P77" s="178">
        <v>1.2362470000000001</v>
      </c>
      <c r="T77" s="6" t="s">
        <v>63</v>
      </c>
      <c r="U77" s="6" t="s">
        <v>46</v>
      </c>
      <c r="V77" s="178">
        <v>1.1251409999999999</v>
      </c>
    </row>
    <row r="78" spans="2:22" x14ac:dyDescent="0.25">
      <c r="B78" s="6" t="s">
        <v>64</v>
      </c>
      <c r="C78" s="6" t="s">
        <v>46</v>
      </c>
      <c r="D78" s="178">
        <f t="shared" si="4"/>
        <v>0.99250899999999997</v>
      </c>
      <c r="H78" s="6" t="s">
        <v>64</v>
      </c>
      <c r="I78" s="6" t="s">
        <v>46</v>
      </c>
      <c r="J78" s="178">
        <v>0.93939899999999998</v>
      </c>
      <c r="N78" s="6" t="s">
        <v>64</v>
      </c>
      <c r="O78" s="6" t="s">
        <v>46</v>
      </c>
      <c r="P78" s="178">
        <v>1.040365</v>
      </c>
      <c r="T78" s="6" t="s">
        <v>64</v>
      </c>
      <c r="U78" s="6" t="s">
        <v>46</v>
      </c>
      <c r="V78" s="178">
        <v>1.1181749999999999</v>
      </c>
    </row>
    <row r="79" spans="2:22" x14ac:dyDescent="0.25">
      <c r="B79" s="6" t="s">
        <v>65</v>
      </c>
      <c r="C79" s="6" t="s">
        <v>46</v>
      </c>
      <c r="D79" s="178">
        <f t="shared" si="4"/>
        <v>0.43931599999999998</v>
      </c>
      <c r="H79" s="6" t="s">
        <v>65</v>
      </c>
      <c r="I79" s="6" t="s">
        <v>46</v>
      </c>
      <c r="J79" s="178">
        <v>0.39842899999999998</v>
      </c>
      <c r="N79" s="6" t="s">
        <v>65</v>
      </c>
      <c r="O79" s="6" t="s">
        <v>46</v>
      </c>
      <c r="P79" s="178">
        <v>0.39139600000000002</v>
      </c>
      <c r="T79" s="6" t="s">
        <v>65</v>
      </c>
      <c r="U79" s="6" t="s">
        <v>46</v>
      </c>
      <c r="V79" s="178">
        <v>0.39471400000000001</v>
      </c>
    </row>
    <row r="80" spans="2:22" x14ac:dyDescent="0.25">
      <c r="B80" s="6" t="s">
        <v>66</v>
      </c>
      <c r="C80" s="6" t="s">
        <v>46</v>
      </c>
      <c r="D80" s="178">
        <f t="shared" si="4"/>
        <v>0.79862699999999998</v>
      </c>
      <c r="H80" s="6" t="s">
        <v>66</v>
      </c>
      <c r="I80" s="6" t="s">
        <v>46</v>
      </c>
      <c r="J80" s="178">
        <v>0.80406200000000005</v>
      </c>
      <c r="N80" s="6" t="s">
        <v>66</v>
      </c>
      <c r="O80" s="6" t="s">
        <v>46</v>
      </c>
      <c r="P80" s="178">
        <v>0.72850899999999996</v>
      </c>
      <c r="T80" s="6" t="s">
        <v>66</v>
      </c>
      <c r="U80" s="6" t="s">
        <v>46</v>
      </c>
      <c r="V80" s="178">
        <v>0.73442499999999999</v>
      </c>
    </row>
    <row r="81" spans="2:22" x14ac:dyDescent="0.25">
      <c r="B81" s="6" t="s">
        <v>67</v>
      </c>
      <c r="C81" s="6" t="s">
        <v>46</v>
      </c>
      <c r="D81" s="178">
        <f t="shared" si="4"/>
        <v>0.56775100000000001</v>
      </c>
      <c r="H81" s="6" t="s">
        <v>67</v>
      </c>
      <c r="I81" s="6" t="s">
        <v>46</v>
      </c>
      <c r="J81" s="178">
        <v>0.55448299999999995</v>
      </c>
      <c r="N81" s="6" t="s">
        <v>67</v>
      </c>
      <c r="O81" s="6" t="s">
        <v>46</v>
      </c>
      <c r="P81" s="178">
        <v>0.52228399999999997</v>
      </c>
      <c r="T81" s="6" t="s">
        <v>67</v>
      </c>
      <c r="U81" s="6" t="s">
        <v>46</v>
      </c>
      <c r="V81" s="178">
        <v>0.50867099999999998</v>
      </c>
    </row>
    <row r="82" spans="2:22" x14ac:dyDescent="0.25">
      <c r="B82" s="6" t="s">
        <v>68</v>
      </c>
      <c r="C82" s="6" t="s">
        <v>46</v>
      </c>
      <c r="D82" s="178">
        <f t="shared" si="4"/>
        <v>1.3663780000000001</v>
      </c>
      <c r="H82" s="6" t="s">
        <v>68</v>
      </c>
      <c r="I82" s="6" t="s">
        <v>46</v>
      </c>
      <c r="J82" s="178">
        <v>1.3585449999999999</v>
      </c>
      <c r="N82" s="6" t="s">
        <v>68</v>
      </c>
      <c r="O82" s="6" t="s">
        <v>46</v>
      </c>
      <c r="P82" s="178">
        <v>1.250793</v>
      </c>
      <c r="T82" s="6" t="s">
        <v>68</v>
      </c>
      <c r="U82" s="6" t="s">
        <v>46</v>
      </c>
      <c r="V82" s="178">
        <v>1.243096</v>
      </c>
    </row>
    <row r="83" spans="2:22" x14ac:dyDescent="0.25">
      <c r="B83" s="6" t="s">
        <v>69</v>
      </c>
      <c r="C83" s="6" t="s">
        <v>70</v>
      </c>
      <c r="D83" s="178">
        <f t="shared" si="4"/>
        <v>9.0116879999999995</v>
      </c>
      <c r="H83" s="6" t="s">
        <v>69</v>
      </c>
      <c r="I83" s="6" t="s">
        <v>70</v>
      </c>
      <c r="J83" s="178">
        <v>9.0069809999999997</v>
      </c>
      <c r="N83" s="6" t="s">
        <v>69</v>
      </c>
      <c r="O83" s="6" t="s">
        <v>70</v>
      </c>
      <c r="P83" s="178">
        <v>9.0044039999999992</v>
      </c>
      <c r="T83" s="6" t="s">
        <v>69</v>
      </c>
      <c r="U83" s="6" t="s">
        <v>70</v>
      </c>
      <c r="V83" s="178">
        <v>9.0037599999999998</v>
      </c>
    </row>
    <row r="84" spans="2:22" x14ac:dyDescent="0.25">
      <c r="B84" s="15" t="s">
        <v>71</v>
      </c>
      <c r="C84" s="15" t="s">
        <v>72</v>
      </c>
      <c r="D84" s="179">
        <f t="shared" si="4"/>
        <v>3.7466179999999998</v>
      </c>
      <c r="H84" s="15" t="s">
        <v>71</v>
      </c>
      <c r="I84" s="15" t="s">
        <v>72</v>
      </c>
      <c r="J84" s="179">
        <v>3.7520259999999999</v>
      </c>
      <c r="N84" s="15" t="s">
        <v>71</v>
      </c>
      <c r="O84" s="15" t="s">
        <v>72</v>
      </c>
      <c r="P84" s="179">
        <v>3.7516590000000001</v>
      </c>
      <c r="T84" s="15" t="s">
        <v>71</v>
      </c>
      <c r="U84" s="15" t="s">
        <v>72</v>
      </c>
      <c r="V84" s="179">
        <v>3.7507830000000002</v>
      </c>
    </row>
    <row r="85" spans="2:22" x14ac:dyDescent="0.25">
      <c r="B85" s="18" t="s">
        <v>73</v>
      </c>
      <c r="C85" s="18" t="s">
        <v>72</v>
      </c>
      <c r="D85" s="180">
        <f t="shared" si="4"/>
        <v>3.6138249999999998</v>
      </c>
      <c r="H85" s="18" t="s">
        <v>73</v>
      </c>
      <c r="I85" s="18" t="s">
        <v>72</v>
      </c>
      <c r="J85" s="180">
        <v>3.6690860000000001</v>
      </c>
      <c r="N85" s="18" t="s">
        <v>73</v>
      </c>
      <c r="O85" s="18" t="s">
        <v>72</v>
      </c>
      <c r="P85" s="180">
        <v>3.687554</v>
      </c>
      <c r="T85" s="18" t="s">
        <v>73</v>
      </c>
      <c r="U85" s="18" t="s">
        <v>72</v>
      </c>
      <c r="V85" s="180">
        <v>3.6924049999999999</v>
      </c>
    </row>
    <row r="86" spans="2:22" x14ac:dyDescent="0.25">
      <c r="B86" s="6" t="s">
        <v>74</v>
      </c>
      <c r="C86" s="6" t="s">
        <v>19</v>
      </c>
      <c r="D86" s="178">
        <f t="shared" si="4"/>
        <v>0.25402200000000003</v>
      </c>
      <c r="H86" s="6" t="s">
        <v>74</v>
      </c>
      <c r="I86" s="6" t="s">
        <v>19</v>
      </c>
      <c r="J86" s="178">
        <v>0.25268000000000002</v>
      </c>
      <c r="N86" s="6" t="s">
        <v>74</v>
      </c>
      <c r="O86" s="6" t="s">
        <v>19</v>
      </c>
      <c r="P86" s="178">
        <v>0.25293199999999999</v>
      </c>
      <c r="T86" s="6" t="s">
        <v>74</v>
      </c>
      <c r="U86" s="6" t="s">
        <v>19</v>
      </c>
      <c r="V86" s="178">
        <v>0.25339600000000001</v>
      </c>
    </row>
    <row r="87" spans="2:22" x14ac:dyDescent="0.25">
      <c r="B87" s="6" t="s">
        <v>75</v>
      </c>
      <c r="C87" s="6" t="s">
        <v>19</v>
      </c>
      <c r="D87" s="178">
        <f t="shared" si="4"/>
        <v>0.25036599999999998</v>
      </c>
      <c r="H87" s="6" t="s">
        <v>75</v>
      </c>
      <c r="I87" s="6" t="s">
        <v>19</v>
      </c>
      <c r="J87" s="178">
        <v>0.27174599999999999</v>
      </c>
      <c r="N87" s="6" t="s">
        <v>75</v>
      </c>
      <c r="O87" s="6" t="s">
        <v>19</v>
      </c>
      <c r="P87" s="178">
        <v>0.24016100000000001</v>
      </c>
      <c r="T87" s="6" t="s">
        <v>75</v>
      </c>
      <c r="U87" s="6" t="s">
        <v>19</v>
      </c>
      <c r="V87" s="178">
        <v>0.24086199999999999</v>
      </c>
    </row>
    <row r="88" spans="2:22" x14ac:dyDescent="0.25">
      <c r="B88" s="6" t="s">
        <v>76</v>
      </c>
      <c r="C88" s="6" t="s">
        <v>19</v>
      </c>
      <c r="D88" s="178">
        <f t="shared" si="4"/>
        <v>0.50438899999999998</v>
      </c>
      <c r="H88" s="6" t="s">
        <v>76</v>
      </c>
      <c r="I88" s="6" t="s">
        <v>19</v>
      </c>
      <c r="J88" s="178">
        <v>0.52442500000000003</v>
      </c>
      <c r="N88" s="6" t="s">
        <v>76</v>
      </c>
      <c r="O88" s="6" t="s">
        <v>19</v>
      </c>
      <c r="P88" s="178">
        <v>0.493093</v>
      </c>
      <c r="T88" s="6" t="s">
        <v>76</v>
      </c>
      <c r="U88" s="6" t="s">
        <v>19</v>
      </c>
      <c r="V88" s="178">
        <v>0.49425799999999998</v>
      </c>
    </row>
    <row r="89" spans="2:22" x14ac:dyDescent="0.25">
      <c r="B89" s="6" t="s">
        <v>77</v>
      </c>
      <c r="C89" s="6" t="s">
        <v>19</v>
      </c>
      <c r="D89" s="178">
        <f t="shared" si="4"/>
        <v>0.57770900000000003</v>
      </c>
      <c r="H89" s="6" t="s">
        <v>77</v>
      </c>
      <c r="I89" s="6" t="s">
        <v>19</v>
      </c>
      <c r="J89" s="178">
        <v>0.57772500000000004</v>
      </c>
      <c r="N89" s="6" t="s">
        <v>77</v>
      </c>
      <c r="O89" s="6" t="s">
        <v>19</v>
      </c>
      <c r="P89" s="178">
        <v>0.57511599999999996</v>
      </c>
      <c r="T89" s="6" t="s">
        <v>77</v>
      </c>
      <c r="U89" s="6" t="s">
        <v>19</v>
      </c>
      <c r="V89" s="178">
        <v>0.57639600000000002</v>
      </c>
    </row>
    <row r="90" spans="2:22" x14ac:dyDescent="0.25">
      <c r="B90" s="6" t="s">
        <v>78</v>
      </c>
      <c r="C90" s="6" t="s">
        <v>19</v>
      </c>
      <c r="D90" s="178">
        <f t="shared" si="4"/>
        <v>0.15325</v>
      </c>
      <c r="H90" s="6" t="s">
        <v>78</v>
      </c>
      <c r="I90" s="6" t="s">
        <v>19</v>
      </c>
      <c r="J90" s="178">
        <v>0.16834299999999999</v>
      </c>
      <c r="N90" s="6" t="s">
        <v>78</v>
      </c>
      <c r="O90" s="6" t="s">
        <v>19</v>
      </c>
      <c r="P90" s="178">
        <v>0.15316399999999999</v>
      </c>
      <c r="T90" s="6" t="s">
        <v>78</v>
      </c>
      <c r="U90" s="6" t="s">
        <v>19</v>
      </c>
      <c r="V90" s="178">
        <v>0.15801999999999999</v>
      </c>
    </row>
    <row r="91" spans="2:22" x14ac:dyDescent="0.25">
      <c r="B91" s="6" t="s">
        <v>79</v>
      </c>
      <c r="C91" s="6" t="s">
        <v>19</v>
      </c>
      <c r="D91" s="178">
        <f t="shared" ref="D91:D122" si="5">IFERROR(VLOOKUP(B91,raw_2,2,FALSE),0)</f>
        <v>0.57786099999999996</v>
      </c>
      <c r="H91" s="6" t="s">
        <v>79</v>
      </c>
      <c r="I91" s="6" t="s">
        <v>19</v>
      </c>
      <c r="J91" s="178">
        <v>0.56589299999999998</v>
      </c>
      <c r="N91" s="6" t="s">
        <v>79</v>
      </c>
      <c r="O91" s="6" t="s">
        <v>19</v>
      </c>
      <c r="P91" s="178">
        <v>0.53546099999999996</v>
      </c>
      <c r="T91" s="6" t="s">
        <v>79</v>
      </c>
      <c r="U91" s="6" t="s">
        <v>19</v>
      </c>
      <c r="V91" s="178">
        <v>0.55447000000000002</v>
      </c>
    </row>
    <row r="92" spans="2:22" x14ac:dyDescent="0.25">
      <c r="B92" s="6" t="s">
        <v>80</v>
      </c>
      <c r="C92" s="6" t="s">
        <v>19</v>
      </c>
      <c r="D92" s="178">
        <f t="shared" si="5"/>
        <v>0.68268300000000004</v>
      </c>
      <c r="H92" s="6" t="s">
        <v>80</v>
      </c>
      <c r="I92" s="6" t="s">
        <v>19</v>
      </c>
      <c r="J92" s="178">
        <v>0.66660200000000003</v>
      </c>
      <c r="N92" s="6" t="s">
        <v>80</v>
      </c>
      <c r="O92" s="6" t="s">
        <v>19</v>
      </c>
      <c r="P92" s="178">
        <v>0.63032699999999997</v>
      </c>
      <c r="T92" s="6" t="s">
        <v>80</v>
      </c>
      <c r="U92" s="6" t="s">
        <v>19</v>
      </c>
      <c r="V92" s="178">
        <v>0.63031700000000002</v>
      </c>
    </row>
    <row r="93" spans="2:22" x14ac:dyDescent="0.25">
      <c r="B93" s="6" t="s">
        <v>81</v>
      </c>
      <c r="C93" s="6" t="s">
        <v>19</v>
      </c>
      <c r="D93" s="178">
        <f t="shared" si="5"/>
        <v>1.3736889999999999</v>
      </c>
      <c r="H93" s="6" t="s">
        <v>81</v>
      </c>
      <c r="I93" s="6" t="s">
        <v>19</v>
      </c>
      <c r="J93" s="178">
        <v>1.151662</v>
      </c>
      <c r="N93" s="6" t="s">
        <v>81</v>
      </c>
      <c r="O93" s="6" t="s">
        <v>19</v>
      </c>
      <c r="P93" s="178">
        <v>1.1131660000000001</v>
      </c>
      <c r="T93" s="6" t="s">
        <v>81</v>
      </c>
      <c r="U93" s="6" t="s">
        <v>19</v>
      </c>
      <c r="V93" s="178">
        <v>1.01305</v>
      </c>
    </row>
    <row r="94" spans="2:22" x14ac:dyDescent="0.25">
      <c r="B94" s="6" t="s">
        <v>185</v>
      </c>
      <c r="C94" s="6" t="s">
        <v>19</v>
      </c>
      <c r="D94" s="178">
        <f t="shared" si="5"/>
        <v>0.89441899999999996</v>
      </c>
      <c r="H94" s="6" t="s">
        <v>185</v>
      </c>
      <c r="I94" s="6" t="s">
        <v>19</v>
      </c>
      <c r="J94" s="178">
        <v>0.84611499999999995</v>
      </c>
      <c r="N94" s="6" t="s">
        <v>185</v>
      </c>
      <c r="O94" s="6" t="s">
        <v>19</v>
      </c>
      <c r="P94" s="178">
        <v>0.93678700000000004</v>
      </c>
      <c r="T94" s="6" t="s">
        <v>185</v>
      </c>
      <c r="U94" s="6" t="s">
        <v>19</v>
      </c>
      <c r="V94" s="178">
        <v>1.006778</v>
      </c>
    </row>
    <row r="95" spans="2:22" x14ac:dyDescent="0.25">
      <c r="B95" s="6" t="s">
        <v>186</v>
      </c>
      <c r="C95" s="6" t="s">
        <v>19</v>
      </c>
      <c r="D95" s="178">
        <f t="shared" si="5"/>
        <v>0.39589800000000003</v>
      </c>
      <c r="H95" s="6" t="s">
        <v>186</v>
      </c>
      <c r="I95" s="6" t="s">
        <v>19</v>
      </c>
      <c r="J95" s="178">
        <v>0.35886400000000002</v>
      </c>
      <c r="N95" s="6" t="s">
        <v>186</v>
      </c>
      <c r="O95" s="6" t="s">
        <v>19</v>
      </c>
      <c r="P95" s="178">
        <v>0.35242800000000002</v>
      </c>
      <c r="T95" s="6" t="s">
        <v>186</v>
      </c>
      <c r="U95" s="6" t="s">
        <v>19</v>
      </c>
      <c r="V95" s="178">
        <v>0.35539100000000001</v>
      </c>
    </row>
    <row r="96" spans="2:22" x14ac:dyDescent="0.25">
      <c r="B96" s="6" t="s">
        <v>187</v>
      </c>
      <c r="C96" s="6" t="s">
        <v>19</v>
      </c>
      <c r="D96" s="178">
        <f t="shared" si="5"/>
        <v>0.71969799999999995</v>
      </c>
      <c r="H96" s="6" t="s">
        <v>187</v>
      </c>
      <c r="I96" s="6" t="s">
        <v>19</v>
      </c>
      <c r="J96" s="178">
        <v>0.724217</v>
      </c>
      <c r="N96" s="6" t="s">
        <v>187</v>
      </c>
      <c r="O96" s="6" t="s">
        <v>19</v>
      </c>
      <c r="P96" s="178">
        <v>0.65597899999999998</v>
      </c>
      <c r="T96" s="6" t="s">
        <v>187</v>
      </c>
      <c r="U96" s="6" t="s">
        <v>19</v>
      </c>
      <c r="V96" s="178">
        <v>0.66125800000000001</v>
      </c>
    </row>
    <row r="97" spans="2:23" x14ac:dyDescent="0.25">
      <c r="B97" s="6" t="s">
        <v>188</v>
      </c>
      <c r="C97" s="6" t="s">
        <v>19</v>
      </c>
      <c r="D97" s="178">
        <f t="shared" si="5"/>
        <v>0.51163999999999998</v>
      </c>
      <c r="H97" s="6" t="s">
        <v>188</v>
      </c>
      <c r="I97" s="6" t="s">
        <v>19</v>
      </c>
      <c r="J97" s="178">
        <v>0.49942199999999998</v>
      </c>
      <c r="N97" s="6" t="s">
        <v>188</v>
      </c>
      <c r="O97" s="6" t="s">
        <v>19</v>
      </c>
      <c r="P97" s="178">
        <v>0.47028500000000001</v>
      </c>
      <c r="T97" s="6" t="s">
        <v>188</v>
      </c>
      <c r="U97" s="6" t="s">
        <v>19</v>
      </c>
      <c r="V97" s="178">
        <v>0.45799600000000001</v>
      </c>
    </row>
    <row r="98" spans="2:23" x14ac:dyDescent="0.25">
      <c r="B98" s="6" t="s">
        <v>189</v>
      </c>
      <c r="C98" s="6" t="s">
        <v>19</v>
      </c>
      <c r="D98" s="178">
        <f t="shared" si="5"/>
        <v>1.2313369999999999</v>
      </c>
      <c r="H98" s="6" t="s">
        <v>189</v>
      </c>
      <c r="I98" s="6" t="s">
        <v>19</v>
      </c>
      <c r="J98" s="178">
        <v>1.2236389999999999</v>
      </c>
      <c r="N98" s="6" t="s">
        <v>189</v>
      </c>
      <c r="O98" s="6" t="s">
        <v>19</v>
      </c>
      <c r="P98" s="178">
        <v>1.1262650000000001</v>
      </c>
      <c r="T98" s="6" t="s">
        <v>189</v>
      </c>
      <c r="U98" s="6" t="s">
        <v>19</v>
      </c>
      <c r="V98" s="178">
        <v>1.119254</v>
      </c>
    </row>
    <row r="99" spans="2:23" x14ac:dyDescent="0.25">
      <c r="B99" s="6" t="s">
        <v>82</v>
      </c>
      <c r="C99" s="6" t="s">
        <v>83</v>
      </c>
      <c r="D99" s="184">
        <f t="shared" si="5"/>
        <v>150</v>
      </c>
      <c r="E99" s="184"/>
      <c r="H99" s="6" t="s">
        <v>82</v>
      </c>
      <c r="I99" s="6" t="s">
        <v>83</v>
      </c>
      <c r="J99" s="184">
        <v>150</v>
      </c>
      <c r="K99" s="184"/>
      <c r="N99" s="6" t="s">
        <v>82</v>
      </c>
      <c r="O99" s="6" t="s">
        <v>83</v>
      </c>
      <c r="P99" s="184">
        <v>150</v>
      </c>
      <c r="Q99" s="184"/>
      <c r="T99" s="6" t="s">
        <v>82</v>
      </c>
      <c r="U99" s="6" t="s">
        <v>83</v>
      </c>
      <c r="V99" s="184">
        <v>150</v>
      </c>
      <c r="W99" s="184"/>
    </row>
    <row r="100" spans="2:23" x14ac:dyDescent="0.25">
      <c r="B100" s="6" t="s">
        <v>84</v>
      </c>
      <c r="C100" s="6" t="s">
        <v>83</v>
      </c>
      <c r="D100" s="184">
        <f t="shared" si="5"/>
        <v>15</v>
      </c>
      <c r="E100" s="184"/>
      <c r="H100" s="6" t="s">
        <v>84</v>
      </c>
      <c r="I100" s="6" t="s">
        <v>83</v>
      </c>
      <c r="J100" s="184">
        <v>15</v>
      </c>
      <c r="K100" s="184"/>
      <c r="N100" s="6" t="s">
        <v>84</v>
      </c>
      <c r="O100" s="6" t="s">
        <v>83</v>
      </c>
      <c r="P100" s="184">
        <v>15</v>
      </c>
      <c r="Q100" s="184"/>
      <c r="T100" s="6" t="s">
        <v>84</v>
      </c>
      <c r="U100" s="6" t="s">
        <v>83</v>
      </c>
      <c r="V100" s="184">
        <v>15</v>
      </c>
      <c r="W100" s="184"/>
    </row>
    <row r="101" spans="2:23" x14ac:dyDescent="0.25">
      <c r="B101" s="6" t="s">
        <v>85</v>
      </c>
      <c r="C101" s="6" t="s">
        <v>83</v>
      </c>
      <c r="D101" s="184">
        <f t="shared" si="5"/>
        <v>120</v>
      </c>
      <c r="E101" s="184"/>
      <c r="H101" s="6" t="s">
        <v>85</v>
      </c>
      <c r="I101" s="6" t="s">
        <v>83</v>
      </c>
      <c r="J101" s="184">
        <v>120</v>
      </c>
      <c r="K101" s="184"/>
      <c r="N101" s="6" t="s">
        <v>85</v>
      </c>
      <c r="O101" s="6" t="s">
        <v>83</v>
      </c>
      <c r="P101" s="184">
        <v>120</v>
      </c>
      <c r="Q101" s="184"/>
      <c r="T101" s="6" t="s">
        <v>85</v>
      </c>
      <c r="U101" s="6" t="s">
        <v>83</v>
      </c>
      <c r="V101" s="184">
        <v>120</v>
      </c>
      <c r="W101" s="184"/>
    </row>
    <row r="102" spans="2:23" x14ac:dyDescent="0.25">
      <c r="B102" s="6" t="s">
        <v>86</v>
      </c>
      <c r="C102" s="6" t="s">
        <v>83</v>
      </c>
      <c r="D102" s="184">
        <f t="shared" si="5"/>
        <v>40.000500000000002</v>
      </c>
      <c r="E102" s="184"/>
      <c r="H102" s="6" t="s">
        <v>86</v>
      </c>
      <c r="I102" s="6" t="s">
        <v>83</v>
      </c>
      <c r="J102" s="184">
        <v>40.000500000000002</v>
      </c>
      <c r="K102" s="184"/>
      <c r="N102" s="6" t="s">
        <v>86</v>
      </c>
      <c r="O102" s="6" t="s">
        <v>83</v>
      </c>
      <c r="P102" s="184">
        <v>40.000500000000002</v>
      </c>
      <c r="Q102" s="184"/>
      <c r="T102" s="6" t="s">
        <v>86</v>
      </c>
      <c r="U102" s="6" t="s">
        <v>83</v>
      </c>
      <c r="V102" s="184">
        <v>40.000500000000002</v>
      </c>
      <c r="W102" s="184"/>
    </row>
    <row r="103" spans="2:23" x14ac:dyDescent="0.25">
      <c r="B103" s="15" t="s">
        <v>87</v>
      </c>
      <c r="C103" s="15" t="s">
        <v>83</v>
      </c>
      <c r="D103" s="179">
        <f t="shared" si="5"/>
        <v>0.3</v>
      </c>
      <c r="H103" s="15" t="s">
        <v>87</v>
      </c>
      <c r="I103" s="15" t="s">
        <v>83</v>
      </c>
      <c r="J103" s="179">
        <v>0.3</v>
      </c>
      <c r="N103" s="15" t="s">
        <v>87</v>
      </c>
      <c r="O103" s="15" t="s">
        <v>83</v>
      </c>
      <c r="P103" s="179">
        <v>0.3</v>
      </c>
      <c r="T103" s="15" t="s">
        <v>87</v>
      </c>
      <c r="U103" s="15" t="s">
        <v>83</v>
      </c>
      <c r="V103" s="179">
        <v>0.3</v>
      </c>
    </row>
    <row r="104" spans="2:23" x14ac:dyDescent="0.25">
      <c r="B104" s="6" t="s">
        <v>88</v>
      </c>
      <c r="C104" s="6" t="s">
        <v>83</v>
      </c>
      <c r="D104" s="184">
        <f t="shared" si="5"/>
        <v>1.0004999999999999</v>
      </c>
      <c r="E104" s="184"/>
      <c r="H104" s="6" t="s">
        <v>88</v>
      </c>
      <c r="I104" s="6" t="s">
        <v>83</v>
      </c>
      <c r="J104" s="184">
        <v>1.0004999999999999</v>
      </c>
      <c r="K104" s="184"/>
      <c r="N104" s="6" t="s">
        <v>88</v>
      </c>
      <c r="O104" s="6" t="s">
        <v>83</v>
      </c>
      <c r="P104" s="184">
        <v>1.0004999999999999</v>
      </c>
      <c r="Q104" s="184"/>
      <c r="T104" s="6" t="s">
        <v>88</v>
      </c>
      <c r="U104" s="6" t="s">
        <v>83</v>
      </c>
      <c r="V104" s="184">
        <v>1.0004999999999999</v>
      </c>
      <c r="W104" s="184"/>
    </row>
    <row r="105" spans="2:23" hidden="1" x14ac:dyDescent="0.25">
      <c r="B105" s="6" t="s">
        <v>89</v>
      </c>
      <c r="C105" s="6" t="s">
        <v>90</v>
      </c>
      <c r="D105" s="185">
        <f t="shared" si="5"/>
        <v>12000</v>
      </c>
      <c r="E105" s="185"/>
      <c r="H105" s="6" t="s">
        <v>89</v>
      </c>
      <c r="I105" s="6" t="s">
        <v>90</v>
      </c>
      <c r="J105" s="185">
        <v>12000</v>
      </c>
      <c r="K105" s="185"/>
      <c r="N105" s="6" t="s">
        <v>89</v>
      </c>
      <c r="O105" s="6" t="s">
        <v>90</v>
      </c>
      <c r="P105" s="185">
        <v>12000</v>
      </c>
      <c r="Q105" s="185"/>
      <c r="T105" s="6" t="s">
        <v>89</v>
      </c>
      <c r="U105" s="6" t="s">
        <v>90</v>
      </c>
      <c r="V105" s="185">
        <v>12000</v>
      </c>
      <c r="W105" s="185"/>
    </row>
    <row r="106" spans="2:23" hidden="1" x14ac:dyDescent="0.25">
      <c r="B106" s="6" t="s">
        <v>91</v>
      </c>
      <c r="C106" s="6" t="s">
        <v>90</v>
      </c>
      <c r="D106" s="185">
        <f t="shared" si="5"/>
        <v>1500</v>
      </c>
      <c r="E106" s="185"/>
      <c r="H106" s="6" t="s">
        <v>91</v>
      </c>
      <c r="I106" s="6" t="s">
        <v>90</v>
      </c>
      <c r="J106" s="185">
        <v>1500</v>
      </c>
      <c r="K106" s="185"/>
      <c r="N106" s="6" t="s">
        <v>91</v>
      </c>
      <c r="O106" s="6" t="s">
        <v>90</v>
      </c>
      <c r="P106" s="185">
        <v>1500</v>
      </c>
      <c r="Q106" s="185"/>
      <c r="T106" s="6" t="s">
        <v>91</v>
      </c>
      <c r="U106" s="6" t="s">
        <v>90</v>
      </c>
      <c r="V106" s="185">
        <v>1500</v>
      </c>
      <c r="W106" s="185"/>
    </row>
    <row r="107" spans="2:23" hidden="1" x14ac:dyDescent="0.25">
      <c r="B107" s="6" t="s">
        <v>92</v>
      </c>
      <c r="C107" s="6" t="s">
        <v>90</v>
      </c>
      <c r="D107" s="185">
        <f t="shared" si="5"/>
        <v>49.999499999999998</v>
      </c>
      <c r="E107" s="185"/>
      <c r="H107" s="6" t="s">
        <v>92</v>
      </c>
      <c r="I107" s="6" t="s">
        <v>90</v>
      </c>
      <c r="J107" s="185">
        <v>49.999499999999998</v>
      </c>
      <c r="K107" s="185"/>
      <c r="N107" s="6" t="s">
        <v>92</v>
      </c>
      <c r="O107" s="6" t="s">
        <v>90</v>
      </c>
      <c r="P107" s="185">
        <v>49.999499999999998</v>
      </c>
      <c r="Q107" s="185"/>
      <c r="T107" s="6" t="s">
        <v>92</v>
      </c>
      <c r="U107" s="6" t="s">
        <v>90</v>
      </c>
      <c r="V107" s="185">
        <v>49.999499999999998</v>
      </c>
      <c r="W107" s="185"/>
    </row>
    <row r="108" spans="2:23" hidden="1" x14ac:dyDescent="0.25">
      <c r="B108" s="6" t="s">
        <v>93</v>
      </c>
      <c r="C108" s="6" t="s">
        <v>83</v>
      </c>
      <c r="D108" s="184">
        <f t="shared" si="5"/>
        <v>4.5</v>
      </c>
      <c r="E108" s="184"/>
      <c r="H108" s="6" t="s">
        <v>93</v>
      </c>
      <c r="I108" s="6" t="s">
        <v>83</v>
      </c>
      <c r="J108" s="184">
        <v>4.5</v>
      </c>
      <c r="K108" s="184"/>
      <c r="N108" s="6" t="s">
        <v>93</v>
      </c>
      <c r="O108" s="6" t="s">
        <v>83</v>
      </c>
      <c r="P108" s="184">
        <v>4.5</v>
      </c>
      <c r="Q108" s="184"/>
      <c r="T108" s="6" t="s">
        <v>93</v>
      </c>
      <c r="U108" s="6" t="s">
        <v>83</v>
      </c>
      <c r="V108" s="184">
        <v>4.5</v>
      </c>
      <c r="W108" s="184"/>
    </row>
    <row r="109" spans="2:23" hidden="1" x14ac:dyDescent="0.25">
      <c r="B109" s="6" t="s">
        <v>94</v>
      </c>
      <c r="C109" s="6" t="s">
        <v>83</v>
      </c>
      <c r="D109" s="178">
        <f t="shared" si="5"/>
        <v>1.0004999999999999</v>
      </c>
      <c r="H109" s="6" t="s">
        <v>94</v>
      </c>
      <c r="I109" s="6" t="s">
        <v>83</v>
      </c>
      <c r="J109" s="178">
        <v>1.0004999999999999</v>
      </c>
      <c r="N109" s="6" t="s">
        <v>94</v>
      </c>
      <c r="O109" s="6" t="s">
        <v>83</v>
      </c>
      <c r="P109" s="178">
        <v>1.0004999999999999</v>
      </c>
      <c r="T109" s="6" t="s">
        <v>94</v>
      </c>
      <c r="U109" s="6" t="s">
        <v>83</v>
      </c>
      <c r="V109" s="178">
        <v>1.0004999999999999</v>
      </c>
    </row>
    <row r="110" spans="2:23" hidden="1" x14ac:dyDescent="0.25">
      <c r="B110" s="6" t="s">
        <v>95</v>
      </c>
      <c r="C110" s="6" t="s">
        <v>83</v>
      </c>
      <c r="D110" s="178">
        <f t="shared" si="5"/>
        <v>7.0004999999999997</v>
      </c>
      <c r="H110" s="6" t="s">
        <v>95</v>
      </c>
      <c r="I110" s="6" t="s">
        <v>83</v>
      </c>
      <c r="J110" s="178">
        <v>7.0004999999999997</v>
      </c>
      <c r="N110" s="6" t="s">
        <v>95</v>
      </c>
      <c r="O110" s="6" t="s">
        <v>83</v>
      </c>
      <c r="P110" s="178">
        <v>7.0004999999999997</v>
      </c>
      <c r="T110" s="6" t="s">
        <v>95</v>
      </c>
      <c r="U110" s="6" t="s">
        <v>83</v>
      </c>
      <c r="V110" s="178">
        <v>7.0004999999999997</v>
      </c>
    </row>
    <row r="111" spans="2:23" hidden="1" x14ac:dyDescent="0.25">
      <c r="B111" s="6" t="s">
        <v>96</v>
      </c>
      <c r="C111" s="6" t="s">
        <v>83</v>
      </c>
      <c r="D111" s="178">
        <f t="shared" si="5"/>
        <v>34.999499999999998</v>
      </c>
      <c r="H111" s="6" t="s">
        <v>96</v>
      </c>
      <c r="I111" s="6" t="s">
        <v>83</v>
      </c>
      <c r="J111" s="178">
        <v>34.999499999999998</v>
      </c>
      <c r="N111" s="6" t="s">
        <v>96</v>
      </c>
      <c r="O111" s="6" t="s">
        <v>83</v>
      </c>
      <c r="P111" s="178">
        <v>34.999499999999998</v>
      </c>
      <c r="T111" s="6" t="s">
        <v>96</v>
      </c>
      <c r="U111" s="6" t="s">
        <v>83</v>
      </c>
      <c r="V111" s="178">
        <v>34.999499999999998</v>
      </c>
    </row>
    <row r="112" spans="2:23" hidden="1" x14ac:dyDescent="0.25">
      <c r="B112" s="6" t="s">
        <v>97</v>
      </c>
      <c r="C112" s="6" t="s">
        <v>83</v>
      </c>
      <c r="D112" s="178">
        <f t="shared" si="5"/>
        <v>600</v>
      </c>
      <c r="H112" s="6" t="s">
        <v>97</v>
      </c>
      <c r="I112" s="6" t="s">
        <v>83</v>
      </c>
      <c r="J112" s="178">
        <v>600</v>
      </c>
      <c r="N112" s="6" t="s">
        <v>97</v>
      </c>
      <c r="O112" s="6" t="s">
        <v>83</v>
      </c>
      <c r="P112" s="178">
        <v>600</v>
      </c>
      <c r="T112" s="6" t="s">
        <v>97</v>
      </c>
      <c r="U112" s="6" t="s">
        <v>83</v>
      </c>
      <c r="V112" s="178">
        <v>600</v>
      </c>
    </row>
    <row r="113" spans="2:22" hidden="1" x14ac:dyDescent="0.25">
      <c r="B113" s="6" t="s">
        <v>98</v>
      </c>
      <c r="C113" s="6" t="s">
        <v>83</v>
      </c>
      <c r="D113" s="178">
        <f t="shared" si="5"/>
        <v>19.999500000000001</v>
      </c>
      <c r="H113" s="6" t="s">
        <v>98</v>
      </c>
      <c r="I113" s="6" t="s">
        <v>83</v>
      </c>
      <c r="J113" s="178">
        <v>19.999500000000001</v>
      </c>
      <c r="N113" s="6" t="s">
        <v>98</v>
      </c>
      <c r="O113" s="6" t="s">
        <v>83</v>
      </c>
      <c r="P113" s="178">
        <v>19.999500000000001</v>
      </c>
      <c r="T113" s="6" t="s">
        <v>98</v>
      </c>
      <c r="U113" s="6" t="s">
        <v>83</v>
      </c>
      <c r="V113" s="178">
        <v>19.999500000000001</v>
      </c>
    </row>
    <row r="114" spans="2:22" hidden="1" x14ac:dyDescent="0.25">
      <c r="B114" s="6" t="s">
        <v>99</v>
      </c>
      <c r="C114" s="6" t="s">
        <v>83</v>
      </c>
      <c r="D114" s="178">
        <f t="shared" si="5"/>
        <v>3</v>
      </c>
      <c r="H114" s="6" t="s">
        <v>99</v>
      </c>
      <c r="I114" s="6" t="s">
        <v>83</v>
      </c>
      <c r="J114" s="178">
        <v>3</v>
      </c>
      <c r="N114" s="6" t="s">
        <v>99</v>
      </c>
      <c r="O114" s="6" t="s">
        <v>83</v>
      </c>
      <c r="P114" s="178">
        <v>3</v>
      </c>
      <c r="T114" s="6" t="s">
        <v>99</v>
      </c>
      <c r="U114" s="6" t="s">
        <v>83</v>
      </c>
      <c r="V114" s="178">
        <v>3</v>
      </c>
    </row>
    <row r="115" spans="2:22" hidden="1" x14ac:dyDescent="0.25">
      <c r="B115" s="6" t="s">
        <v>100</v>
      </c>
      <c r="C115" s="6" t="s">
        <v>83</v>
      </c>
      <c r="D115" s="178">
        <f t="shared" si="5"/>
        <v>0.45</v>
      </c>
      <c r="H115" s="6" t="s">
        <v>100</v>
      </c>
      <c r="I115" s="6" t="s">
        <v>83</v>
      </c>
      <c r="J115" s="178">
        <v>0.45</v>
      </c>
      <c r="N115" s="6" t="s">
        <v>100</v>
      </c>
      <c r="O115" s="6" t="s">
        <v>83</v>
      </c>
      <c r="P115" s="178">
        <v>0.45</v>
      </c>
      <c r="T115" s="6" t="s">
        <v>100</v>
      </c>
      <c r="U115" s="6" t="s">
        <v>83</v>
      </c>
      <c r="V115" s="178">
        <v>0.45</v>
      </c>
    </row>
    <row r="116" spans="2:22" hidden="1" x14ac:dyDescent="0.25">
      <c r="B116" s="6" t="s">
        <v>101</v>
      </c>
      <c r="C116" s="6" t="s">
        <v>83</v>
      </c>
      <c r="D116" s="178">
        <f t="shared" si="5"/>
        <v>1.9995000000000001</v>
      </c>
      <c r="H116" s="6" t="s">
        <v>101</v>
      </c>
      <c r="I116" s="6" t="s">
        <v>83</v>
      </c>
      <c r="J116" s="178">
        <v>1.9995000000000001</v>
      </c>
      <c r="N116" s="6" t="s">
        <v>101</v>
      </c>
      <c r="O116" s="6" t="s">
        <v>83</v>
      </c>
      <c r="P116" s="178">
        <v>1.9995000000000001</v>
      </c>
      <c r="T116" s="6" t="s">
        <v>101</v>
      </c>
      <c r="U116" s="6" t="s">
        <v>83</v>
      </c>
      <c r="V116" s="178">
        <v>1.9995000000000001</v>
      </c>
    </row>
    <row r="117" spans="2:22" hidden="1" x14ac:dyDescent="0.25">
      <c r="B117" s="6" t="s">
        <v>102</v>
      </c>
      <c r="C117" s="6" t="s">
        <v>83</v>
      </c>
      <c r="D117" s="178">
        <f t="shared" si="5"/>
        <v>4.0500000000000001E-2</v>
      </c>
      <c r="H117" s="6" t="s">
        <v>102</v>
      </c>
      <c r="I117" s="6" t="s">
        <v>83</v>
      </c>
      <c r="J117" s="178">
        <v>4.0500000000000001E-2</v>
      </c>
      <c r="N117" s="6" t="s">
        <v>102</v>
      </c>
      <c r="O117" s="6" t="s">
        <v>83</v>
      </c>
      <c r="P117" s="178">
        <v>4.0500000000000001E-2</v>
      </c>
      <c r="T117" s="6" t="s">
        <v>102</v>
      </c>
      <c r="U117" s="6" t="s">
        <v>83</v>
      </c>
      <c r="V117" s="178">
        <v>4.0500000000000001E-2</v>
      </c>
    </row>
    <row r="118" spans="2:22" hidden="1" x14ac:dyDescent="0.25">
      <c r="B118" s="6" t="s">
        <v>103</v>
      </c>
      <c r="C118" s="6" t="s">
        <v>104</v>
      </c>
      <c r="D118" s="178">
        <f t="shared" si="5"/>
        <v>52.409384000000003</v>
      </c>
      <c r="H118" s="6" t="s">
        <v>103</v>
      </c>
      <c r="I118" s="6" t="s">
        <v>104</v>
      </c>
      <c r="J118" s="178">
        <v>46.935882999999997</v>
      </c>
      <c r="N118" s="6" t="s">
        <v>103</v>
      </c>
      <c r="O118" s="6" t="s">
        <v>104</v>
      </c>
      <c r="P118" s="178">
        <v>40.268604000000003</v>
      </c>
      <c r="T118" s="6" t="s">
        <v>103</v>
      </c>
      <c r="U118" s="6" t="s">
        <v>104</v>
      </c>
      <c r="V118" s="178">
        <v>34.658985000000001</v>
      </c>
    </row>
    <row r="119" spans="2:22" hidden="1" x14ac:dyDescent="0.25">
      <c r="B119" s="6" t="s">
        <v>105</v>
      </c>
      <c r="C119" s="6" t="s">
        <v>106</v>
      </c>
      <c r="D119" s="178">
        <f t="shared" si="5"/>
        <v>578.96737199999995</v>
      </c>
      <c r="H119" s="6" t="s">
        <v>105</v>
      </c>
      <c r="I119" s="6" t="s">
        <v>106</v>
      </c>
      <c r="J119" s="178">
        <v>537.182323</v>
      </c>
      <c r="N119" s="6" t="s">
        <v>105</v>
      </c>
      <c r="O119" s="6" t="s">
        <v>106</v>
      </c>
      <c r="P119" s="178">
        <v>584.28451800000005</v>
      </c>
      <c r="T119" s="6" t="s">
        <v>105</v>
      </c>
      <c r="U119" s="6" t="s">
        <v>106</v>
      </c>
      <c r="V119" s="178">
        <v>596.61523</v>
      </c>
    </row>
    <row r="120" spans="2:22" hidden="1" x14ac:dyDescent="0.25">
      <c r="B120" s="6" t="s">
        <v>107</v>
      </c>
      <c r="D120" s="178">
        <f t="shared" si="5"/>
        <v>4.4502810000000004</v>
      </c>
      <c r="H120" s="6" t="s">
        <v>107</v>
      </c>
      <c r="J120" s="178">
        <v>5.4524720000000002</v>
      </c>
      <c r="N120" s="6" t="s">
        <v>107</v>
      </c>
      <c r="P120" s="178">
        <v>6.2514349999999999</v>
      </c>
      <c r="T120" s="6" t="s">
        <v>107</v>
      </c>
      <c r="V120" s="178">
        <v>6.5614660000000002</v>
      </c>
    </row>
    <row r="121" spans="2:22" hidden="1" x14ac:dyDescent="0.25">
      <c r="B121" s="6" t="s">
        <v>203</v>
      </c>
      <c r="C121" s="6" t="s">
        <v>83</v>
      </c>
      <c r="D121" s="178">
        <f t="shared" si="5"/>
        <v>0</v>
      </c>
      <c r="H121" s="6" t="s">
        <v>203</v>
      </c>
      <c r="I121" s="6" t="s">
        <v>83</v>
      </c>
      <c r="J121" s="178">
        <v>0</v>
      </c>
      <c r="N121" s="6" t="s">
        <v>203</v>
      </c>
      <c r="O121" s="6" t="s">
        <v>83</v>
      </c>
      <c r="P121" s="178">
        <v>0</v>
      </c>
      <c r="T121" s="6" t="s">
        <v>203</v>
      </c>
      <c r="U121" s="6" t="s">
        <v>83</v>
      </c>
      <c r="V121" s="178">
        <v>0</v>
      </c>
    </row>
    <row r="122" spans="2:22" hidden="1" x14ac:dyDescent="0.25">
      <c r="B122" s="6" t="s">
        <v>204</v>
      </c>
      <c r="C122" s="6" t="s">
        <v>83</v>
      </c>
      <c r="D122" s="178">
        <f t="shared" si="5"/>
        <v>0</v>
      </c>
      <c r="H122" s="6" t="s">
        <v>204</v>
      </c>
      <c r="I122" s="6" t="s">
        <v>83</v>
      </c>
      <c r="J122" s="178">
        <v>0</v>
      </c>
      <c r="N122" s="6" t="s">
        <v>204</v>
      </c>
      <c r="O122" s="6" t="s">
        <v>83</v>
      </c>
      <c r="P122" s="178">
        <v>0</v>
      </c>
      <c r="T122" s="6" t="s">
        <v>204</v>
      </c>
      <c r="U122" s="6" t="s">
        <v>83</v>
      </c>
      <c r="V122" s="178">
        <v>0</v>
      </c>
    </row>
    <row r="123" spans="2:22" hidden="1" x14ac:dyDescent="0.25">
      <c r="B123" s="6" t="s">
        <v>205</v>
      </c>
      <c r="C123" s="6" t="s">
        <v>83</v>
      </c>
      <c r="D123" s="178">
        <f t="shared" ref="D123:D147" si="6">IFERROR(VLOOKUP(B123,raw_2,2,FALSE),0)</f>
        <v>0</v>
      </c>
      <c r="H123" s="6" t="s">
        <v>205</v>
      </c>
      <c r="I123" s="6" t="s">
        <v>83</v>
      </c>
      <c r="J123" s="178">
        <v>0</v>
      </c>
      <c r="N123" s="6" t="s">
        <v>205</v>
      </c>
      <c r="O123" s="6" t="s">
        <v>83</v>
      </c>
      <c r="P123" s="178">
        <v>0</v>
      </c>
      <c r="T123" s="6" t="s">
        <v>205</v>
      </c>
      <c r="U123" s="6" t="s">
        <v>83</v>
      </c>
      <c r="V123" s="178">
        <v>0</v>
      </c>
    </row>
    <row r="124" spans="2:22" hidden="1" x14ac:dyDescent="0.25">
      <c r="B124" s="6" t="s">
        <v>191</v>
      </c>
      <c r="C124" s="6" t="s">
        <v>83</v>
      </c>
      <c r="D124" s="178">
        <f t="shared" si="6"/>
        <v>0</v>
      </c>
      <c r="H124" s="6" t="s">
        <v>191</v>
      </c>
      <c r="I124" s="6" t="s">
        <v>83</v>
      </c>
      <c r="J124" s="178">
        <v>0</v>
      </c>
      <c r="N124" s="6" t="s">
        <v>191</v>
      </c>
      <c r="O124" s="6" t="s">
        <v>83</v>
      </c>
      <c r="P124" s="178">
        <v>0</v>
      </c>
      <c r="T124" s="6" t="s">
        <v>191</v>
      </c>
      <c r="U124" s="6" t="s">
        <v>83</v>
      </c>
      <c r="V124" s="178">
        <v>0</v>
      </c>
    </row>
    <row r="125" spans="2:22" hidden="1" x14ac:dyDescent="0.25">
      <c r="B125" s="6" t="s">
        <v>192</v>
      </c>
      <c r="C125" s="6" t="s">
        <v>83</v>
      </c>
      <c r="D125" s="178">
        <f t="shared" si="6"/>
        <v>0</v>
      </c>
      <c r="H125" s="6" t="s">
        <v>192</v>
      </c>
      <c r="I125" s="6" t="s">
        <v>83</v>
      </c>
      <c r="J125" s="178">
        <v>0</v>
      </c>
      <c r="N125" s="6" t="s">
        <v>192</v>
      </c>
      <c r="O125" s="6" t="s">
        <v>83</v>
      </c>
      <c r="P125" s="178">
        <v>0</v>
      </c>
      <c r="T125" s="6" t="s">
        <v>192</v>
      </c>
      <c r="U125" s="6" t="s">
        <v>83</v>
      </c>
      <c r="V125" s="178">
        <v>0</v>
      </c>
    </row>
    <row r="126" spans="2:22" hidden="1" x14ac:dyDescent="0.25">
      <c r="B126" s="6" t="s">
        <v>193</v>
      </c>
      <c r="C126" s="6" t="s">
        <v>83</v>
      </c>
      <c r="D126" s="178">
        <f t="shared" si="6"/>
        <v>0</v>
      </c>
      <c r="H126" s="6" t="s">
        <v>193</v>
      </c>
      <c r="I126" s="6" t="s">
        <v>83</v>
      </c>
      <c r="J126" s="178">
        <v>0</v>
      </c>
      <c r="N126" s="6" t="s">
        <v>193</v>
      </c>
      <c r="O126" s="6" t="s">
        <v>83</v>
      </c>
      <c r="P126" s="178">
        <v>0</v>
      </c>
      <c r="T126" s="6" t="s">
        <v>193</v>
      </c>
      <c r="U126" s="6" t="s">
        <v>83</v>
      </c>
      <c r="V126" s="178">
        <v>0</v>
      </c>
    </row>
    <row r="127" spans="2:22" hidden="1" x14ac:dyDescent="0.25">
      <c r="B127" s="6" t="s">
        <v>194</v>
      </c>
      <c r="C127" s="6" t="s">
        <v>83</v>
      </c>
      <c r="D127" s="178">
        <f t="shared" si="6"/>
        <v>0</v>
      </c>
      <c r="H127" s="6" t="s">
        <v>194</v>
      </c>
      <c r="I127" s="6" t="s">
        <v>83</v>
      </c>
      <c r="J127" s="178">
        <v>0</v>
      </c>
      <c r="N127" s="6" t="s">
        <v>194</v>
      </c>
      <c r="O127" s="6" t="s">
        <v>83</v>
      </c>
      <c r="P127" s="178">
        <v>0</v>
      </c>
      <c r="T127" s="6" t="s">
        <v>194</v>
      </c>
      <c r="U127" s="6" t="s">
        <v>83</v>
      </c>
      <c r="V127" s="178">
        <v>0</v>
      </c>
    </row>
    <row r="128" spans="2:22" hidden="1" x14ac:dyDescent="0.25">
      <c r="B128" s="6" t="s">
        <v>195</v>
      </c>
      <c r="C128" s="6" t="s">
        <v>83</v>
      </c>
      <c r="D128" s="178">
        <f t="shared" si="6"/>
        <v>0</v>
      </c>
      <c r="H128" s="6" t="s">
        <v>195</v>
      </c>
      <c r="I128" s="6" t="s">
        <v>83</v>
      </c>
      <c r="J128" s="178">
        <v>0</v>
      </c>
      <c r="N128" s="6" t="s">
        <v>195</v>
      </c>
      <c r="O128" s="6" t="s">
        <v>83</v>
      </c>
      <c r="P128" s="178">
        <v>0</v>
      </c>
      <c r="T128" s="6" t="s">
        <v>195</v>
      </c>
      <c r="U128" s="6" t="s">
        <v>83</v>
      </c>
      <c r="V128" s="178">
        <v>0</v>
      </c>
    </row>
    <row r="129" spans="2:22" hidden="1" x14ac:dyDescent="0.25">
      <c r="B129" s="6" t="s">
        <v>196</v>
      </c>
      <c r="C129" s="6" t="s">
        <v>83</v>
      </c>
      <c r="D129" s="178">
        <f t="shared" si="6"/>
        <v>0</v>
      </c>
      <c r="H129" s="6" t="s">
        <v>196</v>
      </c>
      <c r="I129" s="6" t="s">
        <v>83</v>
      </c>
      <c r="J129" s="178">
        <v>0</v>
      </c>
      <c r="N129" s="6" t="s">
        <v>196</v>
      </c>
      <c r="O129" s="6" t="s">
        <v>83</v>
      </c>
      <c r="P129" s="178">
        <v>0</v>
      </c>
      <c r="T129" s="6" t="s">
        <v>196</v>
      </c>
      <c r="U129" s="6" t="s">
        <v>83</v>
      </c>
      <c r="V129" s="178">
        <v>0</v>
      </c>
    </row>
    <row r="130" spans="2:22" hidden="1" x14ac:dyDescent="0.25">
      <c r="B130" s="6" t="s">
        <v>197</v>
      </c>
      <c r="C130" s="6" t="s">
        <v>83</v>
      </c>
      <c r="D130" s="178">
        <f t="shared" si="6"/>
        <v>0</v>
      </c>
      <c r="H130" s="6" t="s">
        <v>197</v>
      </c>
      <c r="I130" s="6" t="s">
        <v>83</v>
      </c>
      <c r="J130" s="178">
        <v>0</v>
      </c>
      <c r="N130" s="6" t="s">
        <v>197</v>
      </c>
      <c r="O130" s="6" t="s">
        <v>83</v>
      </c>
      <c r="P130" s="178">
        <v>0</v>
      </c>
      <c r="T130" s="6" t="s">
        <v>197</v>
      </c>
      <c r="U130" s="6" t="s">
        <v>83</v>
      </c>
      <c r="V130" s="178">
        <v>0</v>
      </c>
    </row>
    <row r="131" spans="2:22" hidden="1" x14ac:dyDescent="0.25">
      <c r="B131" s="6" t="s">
        <v>198</v>
      </c>
      <c r="C131" s="6" t="s">
        <v>83</v>
      </c>
      <c r="D131" s="178">
        <f t="shared" si="6"/>
        <v>0</v>
      </c>
      <c r="H131" s="6" t="s">
        <v>198</v>
      </c>
      <c r="I131" s="6" t="s">
        <v>83</v>
      </c>
      <c r="J131" s="178">
        <v>0</v>
      </c>
      <c r="N131" s="6" t="s">
        <v>198</v>
      </c>
      <c r="O131" s="6" t="s">
        <v>83</v>
      </c>
      <c r="P131" s="178">
        <v>0</v>
      </c>
      <c r="T131" s="6" t="s">
        <v>198</v>
      </c>
      <c r="U131" s="6" t="s">
        <v>83</v>
      </c>
      <c r="V131" s="178">
        <v>0</v>
      </c>
    </row>
    <row r="132" spans="2:22" hidden="1" x14ac:dyDescent="0.25">
      <c r="B132" s="6" t="s">
        <v>199</v>
      </c>
      <c r="C132" s="6" t="s">
        <v>83</v>
      </c>
      <c r="D132" s="178">
        <f t="shared" si="6"/>
        <v>0</v>
      </c>
      <c r="H132" s="6" t="s">
        <v>199</v>
      </c>
      <c r="I132" s="6" t="s">
        <v>83</v>
      </c>
      <c r="J132" s="178">
        <v>0</v>
      </c>
      <c r="N132" s="6" t="s">
        <v>199</v>
      </c>
      <c r="O132" s="6" t="s">
        <v>83</v>
      </c>
      <c r="P132" s="178">
        <v>0</v>
      </c>
      <c r="T132" s="6" t="s">
        <v>199</v>
      </c>
      <c r="U132" s="6" t="s">
        <v>83</v>
      </c>
      <c r="V132" s="178">
        <v>0</v>
      </c>
    </row>
    <row r="133" spans="2:22" hidden="1" x14ac:dyDescent="0.25">
      <c r="B133" s="6" t="s">
        <v>190</v>
      </c>
      <c r="C133" s="6" t="s">
        <v>206</v>
      </c>
      <c r="D133" s="178">
        <f t="shared" si="6"/>
        <v>0</v>
      </c>
      <c r="H133" s="6" t="s">
        <v>190</v>
      </c>
      <c r="I133" s="6" t="s">
        <v>206</v>
      </c>
      <c r="J133" s="178">
        <v>0</v>
      </c>
      <c r="N133" s="6" t="s">
        <v>190</v>
      </c>
      <c r="O133" s="6" t="s">
        <v>206</v>
      </c>
      <c r="P133" s="178">
        <v>0</v>
      </c>
      <c r="T133" s="6" t="s">
        <v>190</v>
      </c>
      <c r="U133" s="6" t="s">
        <v>206</v>
      </c>
      <c r="V133" s="178">
        <v>0</v>
      </c>
    </row>
    <row r="134" spans="2:22" hidden="1" x14ac:dyDescent="0.25">
      <c r="B134" s="6" t="s">
        <v>207</v>
      </c>
      <c r="C134" s="6" t="s">
        <v>208</v>
      </c>
      <c r="D134" s="178">
        <f t="shared" si="6"/>
        <v>0</v>
      </c>
      <c r="H134" s="6" t="s">
        <v>207</v>
      </c>
      <c r="I134" s="6" t="s">
        <v>208</v>
      </c>
      <c r="J134" s="178">
        <v>0</v>
      </c>
      <c r="N134" s="6" t="s">
        <v>207</v>
      </c>
      <c r="O134" s="6" t="s">
        <v>208</v>
      </c>
      <c r="P134" s="178">
        <v>0</v>
      </c>
      <c r="T134" s="6" t="s">
        <v>207</v>
      </c>
      <c r="U134" s="6" t="s">
        <v>208</v>
      </c>
      <c r="V134" s="178">
        <v>0</v>
      </c>
    </row>
    <row r="135" spans="2:22" hidden="1" x14ac:dyDescent="0.25">
      <c r="B135" s="6" t="s">
        <v>209</v>
      </c>
      <c r="C135" s="6" t="s">
        <v>210</v>
      </c>
      <c r="D135" s="178">
        <f t="shared" si="6"/>
        <v>0</v>
      </c>
      <c r="H135" s="6" t="s">
        <v>209</v>
      </c>
      <c r="I135" s="6" t="s">
        <v>210</v>
      </c>
      <c r="J135" s="178">
        <v>0</v>
      </c>
      <c r="N135" s="6" t="s">
        <v>209</v>
      </c>
      <c r="O135" s="6" t="s">
        <v>210</v>
      </c>
      <c r="P135" s="178">
        <v>0</v>
      </c>
      <c r="T135" s="6" t="s">
        <v>209</v>
      </c>
      <c r="U135" s="6" t="s">
        <v>210</v>
      </c>
      <c r="V135" s="178">
        <v>0</v>
      </c>
    </row>
    <row r="136" spans="2:22" hidden="1" x14ac:dyDescent="0.25">
      <c r="B136" s="6" t="s">
        <v>211</v>
      </c>
      <c r="C136" s="6" t="s">
        <v>212</v>
      </c>
      <c r="D136" s="178">
        <f t="shared" si="6"/>
        <v>0</v>
      </c>
      <c r="H136" s="6" t="s">
        <v>211</v>
      </c>
      <c r="I136" s="6" t="s">
        <v>212</v>
      </c>
      <c r="J136" s="178">
        <v>0</v>
      </c>
      <c r="N136" s="6" t="s">
        <v>211</v>
      </c>
      <c r="O136" s="6" t="s">
        <v>212</v>
      </c>
      <c r="P136" s="178">
        <v>0</v>
      </c>
      <c r="T136" s="6" t="s">
        <v>211</v>
      </c>
      <c r="U136" s="6" t="s">
        <v>212</v>
      </c>
      <c r="V136" s="178">
        <v>0</v>
      </c>
    </row>
    <row r="137" spans="2:22" hidden="1" x14ac:dyDescent="0.25">
      <c r="B137" s="6" t="s">
        <v>213</v>
      </c>
      <c r="C137" s="6" t="s">
        <v>212</v>
      </c>
      <c r="D137" s="178">
        <f t="shared" si="6"/>
        <v>0</v>
      </c>
      <c r="H137" s="6" t="s">
        <v>213</v>
      </c>
      <c r="I137" s="6" t="s">
        <v>212</v>
      </c>
      <c r="J137" s="178">
        <v>0</v>
      </c>
      <c r="N137" s="6" t="s">
        <v>213</v>
      </c>
      <c r="O137" s="6" t="s">
        <v>212</v>
      </c>
      <c r="P137" s="178">
        <v>0</v>
      </c>
      <c r="T137" s="6" t="s">
        <v>213</v>
      </c>
      <c r="U137" s="6" t="s">
        <v>212</v>
      </c>
      <c r="V137" s="178">
        <v>0</v>
      </c>
    </row>
    <row r="138" spans="2:22" hidden="1" x14ac:dyDescent="0.25">
      <c r="B138" s="6" t="s">
        <v>214</v>
      </c>
      <c r="C138" s="6" t="s">
        <v>215</v>
      </c>
      <c r="D138" s="178">
        <f t="shared" si="6"/>
        <v>0</v>
      </c>
      <c r="H138" s="6" t="s">
        <v>214</v>
      </c>
      <c r="I138" s="6" t="s">
        <v>215</v>
      </c>
      <c r="J138" s="178">
        <v>0</v>
      </c>
      <c r="N138" s="6" t="s">
        <v>214</v>
      </c>
      <c r="O138" s="6" t="s">
        <v>215</v>
      </c>
      <c r="P138" s="178">
        <v>0</v>
      </c>
      <c r="T138" s="6" t="s">
        <v>214</v>
      </c>
      <c r="U138" s="6" t="s">
        <v>215</v>
      </c>
      <c r="V138" s="178">
        <v>0</v>
      </c>
    </row>
    <row r="139" spans="2:22" hidden="1" x14ac:dyDescent="0.25">
      <c r="B139" s="6" t="s">
        <v>216</v>
      </c>
      <c r="C139" s="6" t="s">
        <v>215</v>
      </c>
      <c r="D139" s="178">
        <f t="shared" si="6"/>
        <v>0</v>
      </c>
      <c r="H139" s="6" t="s">
        <v>216</v>
      </c>
      <c r="I139" s="6" t="s">
        <v>215</v>
      </c>
      <c r="J139" s="178">
        <v>0</v>
      </c>
      <c r="N139" s="6" t="s">
        <v>216</v>
      </c>
      <c r="O139" s="6" t="s">
        <v>215</v>
      </c>
      <c r="P139" s="178">
        <v>0</v>
      </c>
      <c r="T139" s="6" t="s">
        <v>216</v>
      </c>
      <c r="U139" s="6" t="s">
        <v>215</v>
      </c>
      <c r="V139" s="178">
        <v>0</v>
      </c>
    </row>
    <row r="140" spans="2:22" hidden="1" x14ac:dyDescent="0.25">
      <c r="B140" s="6" t="s">
        <v>217</v>
      </c>
      <c r="C140" s="6" t="s">
        <v>215</v>
      </c>
      <c r="D140" s="178">
        <f t="shared" si="6"/>
        <v>0</v>
      </c>
      <c r="H140" s="6" t="s">
        <v>217</v>
      </c>
      <c r="I140" s="6" t="s">
        <v>215</v>
      </c>
      <c r="J140" s="178">
        <v>0</v>
      </c>
      <c r="N140" s="6" t="s">
        <v>217</v>
      </c>
      <c r="O140" s="6" t="s">
        <v>215</v>
      </c>
      <c r="P140" s="178">
        <v>0</v>
      </c>
      <c r="T140" s="6" t="s">
        <v>217</v>
      </c>
      <c r="U140" s="6" t="s">
        <v>215</v>
      </c>
      <c r="V140" s="178">
        <v>0</v>
      </c>
    </row>
    <row r="141" spans="2:22" hidden="1" x14ac:dyDescent="0.25">
      <c r="B141" s="6" t="s">
        <v>218</v>
      </c>
      <c r="C141" s="6" t="s">
        <v>215</v>
      </c>
      <c r="D141" s="178">
        <f t="shared" si="6"/>
        <v>0</v>
      </c>
      <c r="H141" s="6" t="s">
        <v>218</v>
      </c>
      <c r="I141" s="6" t="s">
        <v>215</v>
      </c>
      <c r="J141" s="178">
        <v>0</v>
      </c>
      <c r="N141" s="6" t="s">
        <v>218</v>
      </c>
      <c r="O141" s="6" t="s">
        <v>215</v>
      </c>
      <c r="P141" s="178">
        <v>0</v>
      </c>
      <c r="T141" s="6" t="s">
        <v>218</v>
      </c>
      <c r="U141" s="6" t="s">
        <v>215</v>
      </c>
      <c r="V141" s="178">
        <v>0</v>
      </c>
    </row>
    <row r="142" spans="2:22" hidden="1" x14ac:dyDescent="0.25">
      <c r="B142" s="6" t="s">
        <v>219</v>
      </c>
      <c r="C142" s="6" t="s">
        <v>212</v>
      </c>
      <c r="D142" s="178">
        <f t="shared" si="6"/>
        <v>0</v>
      </c>
      <c r="H142" s="6" t="s">
        <v>219</v>
      </c>
      <c r="I142" s="6" t="s">
        <v>212</v>
      </c>
      <c r="J142" s="178">
        <v>1.304343</v>
      </c>
      <c r="N142" s="6" t="s">
        <v>219</v>
      </c>
      <c r="O142" s="6" t="s">
        <v>212</v>
      </c>
      <c r="P142" s="178">
        <v>0</v>
      </c>
      <c r="T142" s="6" t="s">
        <v>219</v>
      </c>
      <c r="U142" s="6" t="s">
        <v>212</v>
      </c>
      <c r="V142" s="178">
        <v>0</v>
      </c>
    </row>
    <row r="143" spans="2:22" hidden="1" x14ac:dyDescent="0.25">
      <c r="B143" s="15" t="s">
        <v>220</v>
      </c>
      <c r="C143" s="15" t="s">
        <v>215</v>
      </c>
      <c r="D143" s="179">
        <f t="shared" si="6"/>
        <v>0</v>
      </c>
      <c r="H143" s="15" t="s">
        <v>220</v>
      </c>
      <c r="I143" s="15" t="s">
        <v>215</v>
      </c>
      <c r="J143" s="179">
        <v>0</v>
      </c>
      <c r="N143" s="15" t="s">
        <v>220</v>
      </c>
      <c r="O143" s="15" t="s">
        <v>215</v>
      </c>
      <c r="P143" s="179">
        <v>1.304343</v>
      </c>
      <c r="T143" s="15" t="s">
        <v>220</v>
      </c>
      <c r="U143" s="15" t="s">
        <v>215</v>
      </c>
      <c r="V143" s="179">
        <v>1.304343</v>
      </c>
    </row>
    <row r="144" spans="2:22" hidden="1" x14ac:dyDescent="0.25">
      <c r="B144" s="6" t="s">
        <v>221</v>
      </c>
      <c r="C144" s="6" t="s">
        <v>215</v>
      </c>
      <c r="D144" s="178">
        <f t="shared" si="6"/>
        <v>0</v>
      </c>
      <c r="H144" s="6" t="s">
        <v>221</v>
      </c>
      <c r="I144" s="6" t="s">
        <v>215</v>
      </c>
      <c r="J144" s="178">
        <v>0</v>
      </c>
      <c r="N144" s="6" t="s">
        <v>221</v>
      </c>
      <c r="O144" s="6" t="s">
        <v>215</v>
      </c>
      <c r="P144" s="178">
        <v>0</v>
      </c>
      <c r="T144" s="6" t="s">
        <v>221</v>
      </c>
      <c r="U144" s="6" t="s">
        <v>215</v>
      </c>
      <c r="V144" s="178">
        <v>0</v>
      </c>
    </row>
    <row r="145" spans="2:22" hidden="1" x14ac:dyDescent="0.25">
      <c r="B145" s="6" t="s">
        <v>222</v>
      </c>
      <c r="C145" s="6" t="s">
        <v>215</v>
      </c>
      <c r="D145" s="178">
        <f t="shared" si="6"/>
        <v>0</v>
      </c>
      <c r="H145" s="6" t="s">
        <v>222</v>
      </c>
      <c r="I145" s="6" t="s">
        <v>215</v>
      </c>
      <c r="J145" s="178">
        <v>0</v>
      </c>
      <c r="N145" s="6" t="s">
        <v>222</v>
      </c>
      <c r="O145" s="6" t="s">
        <v>215</v>
      </c>
      <c r="P145" s="178">
        <v>0</v>
      </c>
      <c r="T145" s="6" t="s">
        <v>222</v>
      </c>
      <c r="U145" s="6" t="s">
        <v>215</v>
      </c>
      <c r="V145" s="178">
        <v>0</v>
      </c>
    </row>
    <row r="146" spans="2:22" hidden="1" x14ac:dyDescent="0.25">
      <c r="B146" s="6" t="s">
        <v>223</v>
      </c>
      <c r="C146" s="6" t="s">
        <v>215</v>
      </c>
      <c r="D146" s="178">
        <f t="shared" si="6"/>
        <v>0</v>
      </c>
      <c r="H146" s="6" t="s">
        <v>223</v>
      </c>
      <c r="I146" s="6" t="s">
        <v>215</v>
      </c>
      <c r="J146" s="178">
        <v>0</v>
      </c>
      <c r="N146" s="6" t="s">
        <v>223</v>
      </c>
      <c r="O146" s="6" t="s">
        <v>215</v>
      </c>
      <c r="P146" s="178">
        <v>0</v>
      </c>
      <c r="T146" s="6" t="s">
        <v>223</v>
      </c>
      <c r="U146" s="6" t="s">
        <v>215</v>
      </c>
      <c r="V146" s="178">
        <v>0</v>
      </c>
    </row>
    <row r="147" spans="2:22" hidden="1" x14ac:dyDescent="0.25">
      <c r="B147" s="6" t="s">
        <v>224</v>
      </c>
      <c r="C147" s="6" t="s">
        <v>212</v>
      </c>
      <c r="D147" s="178">
        <f t="shared" si="6"/>
        <v>0</v>
      </c>
      <c r="H147" s="6" t="s">
        <v>224</v>
      </c>
      <c r="I147" s="6" t="s">
        <v>212</v>
      </c>
      <c r="J147" s="178">
        <v>0</v>
      </c>
      <c r="N147" s="6" t="s">
        <v>224</v>
      </c>
      <c r="O147" s="6" t="s">
        <v>212</v>
      </c>
      <c r="P147" s="178">
        <v>0</v>
      </c>
      <c r="T147" s="6" t="s">
        <v>224</v>
      </c>
      <c r="U147" s="6" t="s">
        <v>212</v>
      </c>
      <c r="V147" s="178">
        <v>0</v>
      </c>
    </row>
    <row r="148" spans="2:22" hidden="1" x14ac:dyDescent="0.25"/>
    <row r="149" spans="2:22" hidden="1" x14ac:dyDescent="0.25"/>
    <row r="150" spans="2:22" hidden="1" x14ac:dyDescent="0.25"/>
    <row r="151" spans="2:22" hidden="1" x14ac:dyDescent="0.25"/>
    <row r="152" spans="2:22" hidden="1" x14ac:dyDescent="0.25"/>
    <row r="153" spans="2:22" hidden="1" x14ac:dyDescent="0.25"/>
    <row r="154" spans="2:22" hidden="1" x14ac:dyDescent="0.25"/>
    <row r="155" spans="2:22" hidden="1" x14ac:dyDescent="0.25"/>
    <row r="156" spans="2:22" hidden="1" x14ac:dyDescent="0.25"/>
    <row r="157" spans="2:22" ht="16.5" hidden="1" thickBot="1" x14ac:dyDescent="0.3">
      <c r="B157" s="16"/>
      <c r="C157" s="16"/>
      <c r="D157" s="181"/>
      <c r="H157" s="16"/>
      <c r="I157" s="16"/>
      <c r="J157" s="181"/>
      <c r="N157" s="16"/>
      <c r="O157" s="16"/>
      <c r="P157" s="181"/>
      <c r="T157" s="16"/>
      <c r="U157" s="16"/>
      <c r="V157" s="181"/>
    </row>
  </sheetData>
  <sheetProtection algorithmName="SHA-512" hashValue="+gIe0wd0nKo9IanS+wO0+UOeTCwm/75thX7ajCUPdr6tb8Qi4AROe+8tUx6O/hgBTJSXfWuOZKMQ7/k1g2QrJA==" saltValue="1BbDhe5iPuOxU72YXX3P9w==" spinCount="100000" sheet="1" objects="1" scenarios="1"/>
  <sortState xmlns:xlrd2="http://schemas.microsoft.com/office/spreadsheetml/2017/richdata2" ref="A6:E20">
    <sortCondition descending="1" ref="C6:C20"/>
  </sortState>
  <mergeCells count="12">
    <mergeCell ref="A1:C1"/>
    <mergeCell ref="D2:E2"/>
    <mergeCell ref="D3:E3"/>
    <mergeCell ref="S1:U1"/>
    <mergeCell ref="V2:W2"/>
    <mergeCell ref="V3:W3"/>
    <mergeCell ref="M1:O1"/>
    <mergeCell ref="P2:Q2"/>
    <mergeCell ref="P3:Q3"/>
    <mergeCell ref="G1:I1"/>
    <mergeCell ref="J2:K2"/>
    <mergeCell ref="J3:K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58"/>
  <sheetViews>
    <sheetView zoomScale="85" zoomScaleNormal="85" workbookViewId="0">
      <pane xSplit="1" ySplit="4" topLeftCell="B5" activePane="bottomRight" state="frozen"/>
      <selection activeCell="D1" sqref="D1:D1048576"/>
      <selection pane="topRight" activeCell="D1" sqref="D1:D1048576"/>
      <selection pane="bottomLeft" activeCell="D1" sqref="D1:D1048576"/>
      <selection pane="bottomRight" activeCell="D1" sqref="D1:D1048576"/>
    </sheetView>
  </sheetViews>
  <sheetFormatPr defaultRowHeight="15.75" x14ac:dyDescent="0.25"/>
  <cols>
    <col min="1" max="1" width="10.77734375" style="5" customWidth="1"/>
    <col min="2" max="2" width="27.77734375" style="6" customWidth="1"/>
    <col min="3" max="3" width="12.77734375" style="6" customWidth="1"/>
    <col min="4" max="4" width="12.77734375" style="178" customWidth="1"/>
    <col min="5" max="5" width="14.77734375" style="178" customWidth="1"/>
    <col min="7" max="7" width="10.77734375" style="5" customWidth="1"/>
    <col min="8" max="8" width="27.77734375" style="6" customWidth="1"/>
    <col min="9" max="9" width="12.77734375" style="6" customWidth="1"/>
    <col min="10" max="10" width="12.77734375" style="178" customWidth="1"/>
    <col min="11" max="11" width="14.77734375" style="178" customWidth="1"/>
    <col min="13" max="13" width="10.77734375" style="5" customWidth="1"/>
    <col min="14" max="14" width="27.77734375" style="6" customWidth="1"/>
    <col min="15" max="15" width="12.77734375" style="6" customWidth="1"/>
    <col min="16" max="16" width="12.77734375" style="178" customWidth="1"/>
    <col min="17" max="17" width="14.77734375" style="178" customWidth="1"/>
    <col min="19" max="19" width="10.77734375" style="5" customWidth="1"/>
    <col min="20" max="20" width="27.77734375" style="6" customWidth="1"/>
    <col min="21" max="21" width="12.77734375" style="6" customWidth="1"/>
    <col min="22" max="22" width="12.77734375" style="178" customWidth="1"/>
    <col min="23" max="23" width="14.77734375" style="178" customWidth="1"/>
    <col min="25" max="25" width="10.77734375" style="5" customWidth="1"/>
    <col min="26" max="26" width="27.77734375" style="6" customWidth="1"/>
    <col min="27" max="27" width="12.77734375" style="6" customWidth="1"/>
    <col min="28" max="28" width="12.77734375" style="178" customWidth="1"/>
    <col min="29" max="29" width="14.77734375" style="178" customWidth="1"/>
  </cols>
  <sheetData>
    <row r="1" spans="1:29" ht="19.5" thickTop="1" thickBot="1" x14ac:dyDescent="0.3">
      <c r="A1" s="272" t="s">
        <v>261</v>
      </c>
      <c r="B1" s="273"/>
      <c r="C1" s="274"/>
      <c r="D1" s="193">
        <v>44516</v>
      </c>
      <c r="G1" s="272" t="s">
        <v>303</v>
      </c>
      <c r="H1" s="273"/>
      <c r="I1" s="274"/>
      <c r="J1" s="193">
        <v>44483</v>
      </c>
      <c r="M1" s="272" t="s">
        <v>303</v>
      </c>
      <c r="N1" s="273"/>
      <c r="O1" s="274"/>
      <c r="P1" s="193">
        <v>44453</v>
      </c>
      <c r="S1" s="272" t="s">
        <v>303</v>
      </c>
      <c r="T1" s="273"/>
      <c r="U1" s="274"/>
      <c r="V1" s="193">
        <v>44391</v>
      </c>
      <c r="Y1" s="272" t="s">
        <v>303</v>
      </c>
      <c r="Z1" s="273"/>
      <c r="AA1" s="274"/>
      <c r="AB1" s="193">
        <v>44326</v>
      </c>
    </row>
    <row r="2" spans="1:29" ht="17.25" thickTop="1" thickBot="1" x14ac:dyDescent="0.3">
      <c r="A2"/>
      <c r="B2" s="5"/>
      <c r="C2" s="38"/>
      <c r="D2" s="275" t="s">
        <v>228</v>
      </c>
      <c r="E2" s="276"/>
      <c r="G2"/>
      <c r="H2" s="5"/>
      <c r="I2" s="38"/>
      <c r="J2" s="275" t="s">
        <v>296</v>
      </c>
      <c r="K2" s="276"/>
      <c r="M2"/>
      <c r="N2" s="5"/>
      <c r="O2" s="38"/>
      <c r="P2" s="275" t="s">
        <v>296</v>
      </c>
      <c r="Q2" s="276"/>
      <c r="S2"/>
      <c r="T2" s="5"/>
      <c r="U2" s="38"/>
      <c r="V2" s="275" t="s">
        <v>296</v>
      </c>
      <c r="W2" s="276"/>
      <c r="Y2"/>
      <c r="Z2" s="5"/>
      <c r="AA2" s="38"/>
      <c r="AB2" s="275" t="s">
        <v>296</v>
      </c>
      <c r="AC2" s="276"/>
    </row>
    <row r="3" spans="1:29" ht="16.5" thickBot="1" x14ac:dyDescent="0.3">
      <c r="A3"/>
      <c r="B3" s="7"/>
      <c r="C3" s="38"/>
      <c r="D3" s="277" t="s">
        <v>250</v>
      </c>
      <c r="E3" s="278"/>
      <c r="G3"/>
      <c r="H3" s="7"/>
      <c r="I3" s="38"/>
      <c r="J3" s="277" t="s">
        <v>297</v>
      </c>
      <c r="K3" s="278"/>
      <c r="M3"/>
      <c r="N3" s="7"/>
      <c r="O3" s="38"/>
      <c r="P3" s="277" t="s">
        <v>297</v>
      </c>
      <c r="Q3" s="278"/>
      <c r="S3"/>
      <c r="T3" s="7"/>
      <c r="U3" s="38"/>
      <c r="V3" s="277" t="s">
        <v>297</v>
      </c>
      <c r="W3" s="278"/>
      <c r="Y3"/>
      <c r="Z3" s="7"/>
      <c r="AA3" s="38"/>
      <c r="AB3" s="277" t="s">
        <v>297</v>
      </c>
      <c r="AC3" s="278"/>
    </row>
    <row r="4" spans="1:29" ht="31.5" x14ac:dyDescent="0.25">
      <c r="A4" s="3" t="s">
        <v>0</v>
      </c>
      <c r="B4" s="3" t="s">
        <v>1</v>
      </c>
      <c r="C4" s="4" t="s">
        <v>2</v>
      </c>
      <c r="D4" s="4" t="s">
        <v>3</v>
      </c>
      <c r="E4" s="4" t="s">
        <v>4</v>
      </c>
      <c r="G4" s="3" t="s">
        <v>0</v>
      </c>
      <c r="H4" s="3" t="s">
        <v>1</v>
      </c>
      <c r="I4" s="4" t="s">
        <v>298</v>
      </c>
      <c r="J4" s="4" t="s">
        <v>299</v>
      </c>
      <c r="K4" s="4" t="s">
        <v>300</v>
      </c>
      <c r="M4" s="3" t="s">
        <v>0</v>
      </c>
      <c r="N4" s="3" t="s">
        <v>1</v>
      </c>
      <c r="O4" s="4" t="s">
        <v>298</v>
      </c>
      <c r="P4" s="4" t="s">
        <v>299</v>
      </c>
      <c r="Q4" s="4" t="s">
        <v>300</v>
      </c>
      <c r="S4" s="3" t="s">
        <v>0</v>
      </c>
      <c r="T4" s="3" t="s">
        <v>1</v>
      </c>
      <c r="U4" s="4" t="s">
        <v>298</v>
      </c>
      <c r="V4" s="4" t="s">
        <v>299</v>
      </c>
      <c r="W4" s="4" t="s">
        <v>300</v>
      </c>
      <c r="Y4" s="3" t="s">
        <v>0</v>
      </c>
      <c r="Z4" s="3" t="s">
        <v>1</v>
      </c>
      <c r="AA4" s="4" t="s">
        <v>298</v>
      </c>
      <c r="AB4" s="4" t="s">
        <v>299</v>
      </c>
      <c r="AC4" s="4" t="s">
        <v>300</v>
      </c>
    </row>
    <row r="5" spans="1:29" x14ac:dyDescent="0.25">
      <c r="B5" s="6" t="s">
        <v>5</v>
      </c>
      <c r="C5" s="8"/>
      <c r="D5" s="8"/>
      <c r="E5" s="10"/>
      <c r="H5" s="6" t="s">
        <v>5</v>
      </c>
      <c r="I5" s="8"/>
      <c r="J5" s="8"/>
      <c r="K5" s="10"/>
      <c r="N5" s="6" t="s">
        <v>5</v>
      </c>
      <c r="O5" s="8"/>
      <c r="P5" s="8"/>
      <c r="Q5" s="10"/>
      <c r="T5" s="6" t="s">
        <v>5</v>
      </c>
      <c r="U5" s="8"/>
      <c r="V5" s="8"/>
      <c r="W5" s="10"/>
      <c r="Z5" s="6" t="s">
        <v>5</v>
      </c>
      <c r="AA5" s="8"/>
      <c r="AB5" s="8"/>
      <c r="AC5" s="10"/>
    </row>
    <row r="6" spans="1:29" x14ac:dyDescent="0.25">
      <c r="A6" s="5">
        <v>11132</v>
      </c>
      <c r="B6" s="6" t="s">
        <v>16</v>
      </c>
      <c r="C6" s="8">
        <f t="shared" ref="C6:C19" si="0">D6*10</f>
        <v>463.05073999999996</v>
      </c>
      <c r="D6" s="8">
        <f t="shared" ref="D6:D19" si="1">IFERROR(VLOOKUP(A6,raw_1,4,FALSE),0)</f>
        <v>46.305073999999998</v>
      </c>
      <c r="E6" s="10">
        <f t="shared" ref="E6:E19" si="2">IF(ISNA(VLOOKUP(B6,RMP_MFH,2,FALSE)),"N/A",VLOOKUP(B6,RMP_MFH,2,FALSE))</f>
        <v>404</v>
      </c>
      <c r="G6" s="5">
        <v>10020</v>
      </c>
      <c r="H6" s="6" t="s">
        <v>17</v>
      </c>
      <c r="I6" s="8">
        <v>300.32753000000002</v>
      </c>
      <c r="J6" s="8">
        <v>30.032753</v>
      </c>
      <c r="K6" s="10">
        <v>424</v>
      </c>
      <c r="M6" s="5">
        <v>10020</v>
      </c>
      <c r="N6" s="6" t="s">
        <v>17</v>
      </c>
      <c r="O6" s="8">
        <v>623.65309000000002</v>
      </c>
      <c r="P6" s="8">
        <v>62.365309000000003</v>
      </c>
      <c r="Q6" s="10">
        <v>395</v>
      </c>
      <c r="S6" s="5">
        <v>14320</v>
      </c>
      <c r="T6" s="6" t="s">
        <v>269</v>
      </c>
      <c r="U6" s="8">
        <v>580.62194999999997</v>
      </c>
      <c r="V6" s="8">
        <v>58.062195000000003</v>
      </c>
      <c r="W6" s="10">
        <v>404</v>
      </c>
      <c r="Y6" s="5">
        <v>14320</v>
      </c>
      <c r="Z6" s="6" t="s">
        <v>269</v>
      </c>
      <c r="AA6" s="8">
        <v>644.01313000000005</v>
      </c>
      <c r="AB6" s="8">
        <v>64.401313000000002</v>
      </c>
      <c r="AC6" s="10">
        <v>343.86</v>
      </c>
    </row>
    <row r="7" spans="1:29" x14ac:dyDescent="0.25">
      <c r="A7" s="5">
        <v>22964</v>
      </c>
      <c r="B7" s="6" t="s">
        <v>270</v>
      </c>
      <c r="C7" s="8">
        <f t="shared" si="0"/>
        <v>350</v>
      </c>
      <c r="D7" s="8">
        <f t="shared" si="1"/>
        <v>35</v>
      </c>
      <c r="E7" s="10">
        <f t="shared" si="2"/>
        <v>422</v>
      </c>
      <c r="G7" s="5">
        <v>11132</v>
      </c>
      <c r="H7" s="6" t="s">
        <v>16</v>
      </c>
      <c r="I7" s="8">
        <v>290</v>
      </c>
      <c r="J7" s="8">
        <v>29</v>
      </c>
      <c r="K7" s="10">
        <v>401</v>
      </c>
      <c r="M7" s="5">
        <v>14320</v>
      </c>
      <c r="N7" s="6" t="s">
        <v>269</v>
      </c>
      <c r="O7" s="8">
        <v>150</v>
      </c>
      <c r="P7" s="8">
        <v>15</v>
      </c>
      <c r="Q7" s="10">
        <v>418</v>
      </c>
      <c r="S7" s="5">
        <v>22964</v>
      </c>
      <c r="T7" s="6" t="s">
        <v>270</v>
      </c>
      <c r="U7" s="8">
        <v>282</v>
      </c>
      <c r="V7" s="8">
        <v>28.2</v>
      </c>
      <c r="W7" s="10">
        <v>380</v>
      </c>
      <c r="Y7" s="5">
        <v>22964</v>
      </c>
      <c r="Z7" s="6" t="s">
        <v>270</v>
      </c>
      <c r="AA7" s="8">
        <v>292</v>
      </c>
      <c r="AB7" s="8">
        <v>29.2</v>
      </c>
      <c r="AC7" s="10">
        <v>285</v>
      </c>
    </row>
    <row r="8" spans="1:29" x14ac:dyDescent="0.25">
      <c r="A8" s="5">
        <v>20550</v>
      </c>
      <c r="B8" s="6" t="s">
        <v>109</v>
      </c>
      <c r="C8" s="8">
        <f t="shared" si="0"/>
        <v>100</v>
      </c>
      <c r="D8" s="8">
        <f t="shared" si="1"/>
        <v>10</v>
      </c>
      <c r="E8" s="10">
        <f t="shared" si="2"/>
        <v>450</v>
      </c>
      <c r="G8" s="5">
        <v>22964</v>
      </c>
      <c r="H8" s="6" t="s">
        <v>270</v>
      </c>
      <c r="I8" s="8">
        <v>222</v>
      </c>
      <c r="J8" s="8">
        <v>22.2</v>
      </c>
      <c r="K8" s="10">
        <v>395</v>
      </c>
      <c r="M8" s="5">
        <v>20550</v>
      </c>
      <c r="N8" s="6" t="s">
        <v>109</v>
      </c>
      <c r="O8" s="8">
        <v>100</v>
      </c>
      <c r="P8" s="8">
        <v>10</v>
      </c>
      <c r="Q8" s="10">
        <v>392</v>
      </c>
      <c r="S8" s="5">
        <v>20550</v>
      </c>
      <c r="T8" s="6" t="s">
        <v>109</v>
      </c>
      <c r="U8" s="8">
        <v>100</v>
      </c>
      <c r="V8" s="8">
        <v>10</v>
      </c>
      <c r="W8" s="10">
        <v>386</v>
      </c>
      <c r="Y8" s="5">
        <v>40004</v>
      </c>
      <c r="Z8" s="6" t="s">
        <v>15</v>
      </c>
      <c r="AA8" s="8">
        <v>25</v>
      </c>
      <c r="AB8" s="8">
        <v>2.5</v>
      </c>
      <c r="AC8" s="10">
        <v>366.17</v>
      </c>
    </row>
    <row r="9" spans="1:29" x14ac:dyDescent="0.25">
      <c r="A9" s="5">
        <v>40060</v>
      </c>
      <c r="B9" s="6" t="s">
        <v>112</v>
      </c>
      <c r="C9" s="8">
        <f t="shared" si="0"/>
        <v>50</v>
      </c>
      <c r="D9" s="8">
        <f t="shared" si="1"/>
        <v>5</v>
      </c>
      <c r="E9" s="10">
        <f t="shared" si="2"/>
        <v>457</v>
      </c>
      <c r="G9" s="5">
        <v>20550</v>
      </c>
      <c r="H9" s="6" t="s">
        <v>109</v>
      </c>
      <c r="I9" s="8">
        <v>100</v>
      </c>
      <c r="J9" s="8">
        <v>10</v>
      </c>
      <c r="K9" s="10">
        <v>419</v>
      </c>
      <c r="M9" s="5">
        <v>40060</v>
      </c>
      <c r="N9" s="6" t="s">
        <v>112</v>
      </c>
      <c r="O9" s="8">
        <v>50</v>
      </c>
      <c r="P9" s="8">
        <v>5</v>
      </c>
      <c r="Q9" s="10">
        <v>390</v>
      </c>
      <c r="S9" s="5">
        <v>60080</v>
      </c>
      <c r="T9" s="6" t="s">
        <v>273</v>
      </c>
      <c r="U9" s="8">
        <v>17.5</v>
      </c>
      <c r="V9" s="8">
        <v>1.75</v>
      </c>
      <c r="W9" s="10">
        <v>110</v>
      </c>
      <c r="Y9" s="5">
        <v>60080</v>
      </c>
      <c r="Z9" s="6" t="s">
        <v>273</v>
      </c>
      <c r="AA9" s="8">
        <v>16.5</v>
      </c>
      <c r="AB9" s="8">
        <v>1.65</v>
      </c>
      <c r="AC9" s="10">
        <v>132</v>
      </c>
    </row>
    <row r="10" spans="1:29" x14ac:dyDescent="0.25">
      <c r="A10" s="5">
        <v>60080</v>
      </c>
      <c r="B10" s="6" t="s">
        <v>273</v>
      </c>
      <c r="C10" s="8">
        <f t="shared" si="0"/>
        <v>16.5</v>
      </c>
      <c r="D10" s="8">
        <f t="shared" si="1"/>
        <v>1.65</v>
      </c>
      <c r="E10" s="10">
        <f t="shared" si="2"/>
        <v>132</v>
      </c>
      <c r="G10" s="5">
        <v>40060</v>
      </c>
      <c r="H10" s="6" t="s">
        <v>112</v>
      </c>
      <c r="I10" s="8">
        <v>50</v>
      </c>
      <c r="J10" s="8">
        <v>5</v>
      </c>
      <c r="K10" s="10">
        <v>423</v>
      </c>
      <c r="M10" s="5">
        <v>22964</v>
      </c>
      <c r="N10" s="6" t="s">
        <v>270</v>
      </c>
      <c r="O10" s="8">
        <v>38</v>
      </c>
      <c r="P10" s="8">
        <v>3.8</v>
      </c>
      <c r="Q10" s="10">
        <v>380</v>
      </c>
      <c r="S10" s="5">
        <v>60220</v>
      </c>
      <c r="T10" s="6" t="s">
        <v>274</v>
      </c>
      <c r="U10" s="8">
        <v>6</v>
      </c>
      <c r="V10" s="8">
        <v>0.6</v>
      </c>
      <c r="W10" s="10">
        <v>950</v>
      </c>
      <c r="Y10" s="5">
        <v>60220</v>
      </c>
      <c r="Z10" s="6" t="s">
        <v>274</v>
      </c>
      <c r="AA10" s="8">
        <v>7.5</v>
      </c>
      <c r="AB10" s="8">
        <v>0.75</v>
      </c>
      <c r="AC10" s="10">
        <v>970</v>
      </c>
    </row>
    <row r="11" spans="1:29" x14ac:dyDescent="0.25">
      <c r="A11" s="5">
        <v>60220</v>
      </c>
      <c r="B11" s="6" t="s">
        <v>274</v>
      </c>
      <c r="C11" s="8">
        <f t="shared" si="0"/>
        <v>6.5</v>
      </c>
      <c r="D11" s="8">
        <f t="shared" si="1"/>
        <v>0.65</v>
      </c>
      <c r="E11" s="10">
        <f t="shared" si="2"/>
        <v>970</v>
      </c>
      <c r="G11" s="5">
        <v>60080</v>
      </c>
      <c r="H11" s="6" t="s">
        <v>273</v>
      </c>
      <c r="I11" s="8">
        <v>16.5</v>
      </c>
      <c r="J11" s="8">
        <v>1.65</v>
      </c>
      <c r="K11" s="10">
        <v>132</v>
      </c>
      <c r="M11" s="5">
        <v>60080</v>
      </c>
      <c r="N11" s="6" t="s">
        <v>273</v>
      </c>
      <c r="O11" s="8">
        <v>16</v>
      </c>
      <c r="P11" s="8">
        <v>1.6</v>
      </c>
      <c r="Q11" s="10">
        <v>132</v>
      </c>
      <c r="S11" s="5">
        <v>60700</v>
      </c>
      <c r="T11" s="6" t="s">
        <v>275</v>
      </c>
      <c r="U11" s="8">
        <v>4.5</v>
      </c>
      <c r="V11" s="8">
        <v>0.45</v>
      </c>
      <c r="W11" s="10">
        <v>100</v>
      </c>
      <c r="Y11" s="5">
        <v>60700</v>
      </c>
      <c r="Z11" s="6" t="s">
        <v>275</v>
      </c>
      <c r="AA11" s="8">
        <v>5.1450100000000001</v>
      </c>
      <c r="AB11" s="8">
        <v>0.51450099999999999</v>
      </c>
      <c r="AC11" s="10">
        <v>115</v>
      </c>
    </row>
    <row r="12" spans="1:29" x14ac:dyDescent="0.25">
      <c r="A12" s="5">
        <v>60700</v>
      </c>
      <c r="B12" s="6" t="s">
        <v>275</v>
      </c>
      <c r="C12" s="8">
        <f t="shared" si="0"/>
        <v>5</v>
      </c>
      <c r="D12" s="8">
        <f t="shared" si="1"/>
        <v>0.5</v>
      </c>
      <c r="E12" s="10">
        <f t="shared" si="2"/>
        <v>115</v>
      </c>
      <c r="G12" s="5">
        <v>60220</v>
      </c>
      <c r="H12" s="6" t="s">
        <v>274</v>
      </c>
      <c r="I12" s="8">
        <v>7</v>
      </c>
      <c r="J12" s="8">
        <v>0.7</v>
      </c>
      <c r="K12" s="10">
        <v>1025</v>
      </c>
      <c r="M12" s="5">
        <v>60220</v>
      </c>
      <c r="N12" s="6" t="s">
        <v>274</v>
      </c>
      <c r="O12" s="8">
        <v>8</v>
      </c>
      <c r="P12" s="8">
        <v>0.8</v>
      </c>
      <c r="Q12" s="10">
        <v>970</v>
      </c>
      <c r="S12" s="5">
        <v>66069</v>
      </c>
      <c r="T12" s="6" t="s">
        <v>277</v>
      </c>
      <c r="U12" s="8">
        <v>3.2280500000000001</v>
      </c>
      <c r="V12" s="8">
        <v>0.32280500000000001</v>
      </c>
      <c r="W12" s="10">
        <v>2050</v>
      </c>
      <c r="Y12" s="5">
        <v>66069</v>
      </c>
      <c r="Z12" s="6" t="s">
        <v>277</v>
      </c>
      <c r="AA12" s="8">
        <v>3.1918600000000001</v>
      </c>
      <c r="AB12" s="8">
        <v>0.31918600000000003</v>
      </c>
      <c r="AC12" s="10">
        <v>2050</v>
      </c>
    </row>
    <row r="13" spans="1:29" x14ac:dyDescent="0.25">
      <c r="A13">
        <v>91000</v>
      </c>
      <c r="B13" s="6" t="s">
        <v>306</v>
      </c>
      <c r="C13" s="8">
        <f t="shared" si="0"/>
        <v>3</v>
      </c>
      <c r="D13" s="8">
        <f t="shared" si="1"/>
        <v>0.3</v>
      </c>
      <c r="E13" s="10">
        <f t="shared" si="2"/>
        <v>2650</v>
      </c>
      <c r="G13" s="5">
        <v>60700</v>
      </c>
      <c r="H13" s="6" t="s">
        <v>275</v>
      </c>
      <c r="I13" s="8">
        <v>5</v>
      </c>
      <c r="J13" s="8">
        <v>0.5</v>
      </c>
      <c r="K13" s="10">
        <v>115</v>
      </c>
      <c r="M13" s="5">
        <v>60700</v>
      </c>
      <c r="N13" s="6" t="s">
        <v>275</v>
      </c>
      <c r="O13" s="8">
        <v>5</v>
      </c>
      <c r="P13" s="8">
        <v>0.5</v>
      </c>
      <c r="Q13" s="10">
        <v>115</v>
      </c>
      <c r="S13" s="5">
        <v>91000</v>
      </c>
      <c r="T13" s="6" t="s">
        <v>306</v>
      </c>
      <c r="U13" s="8">
        <v>3</v>
      </c>
      <c r="V13" s="8">
        <v>0.3</v>
      </c>
      <c r="W13" s="10">
        <v>2050</v>
      </c>
      <c r="Y13" s="5">
        <v>91000</v>
      </c>
      <c r="Z13" s="6" t="s">
        <v>278</v>
      </c>
      <c r="AA13" s="8">
        <v>3</v>
      </c>
      <c r="AB13" s="8">
        <v>0.3</v>
      </c>
      <c r="AC13" s="10">
        <v>2650</v>
      </c>
    </row>
    <row r="14" spans="1:29" x14ac:dyDescent="0.25">
      <c r="A14" s="5">
        <v>66069</v>
      </c>
      <c r="B14" s="6" t="s">
        <v>277</v>
      </c>
      <c r="C14" s="8">
        <f t="shared" si="0"/>
        <v>2.8492600000000001</v>
      </c>
      <c r="D14" s="8">
        <f t="shared" si="1"/>
        <v>0.28492600000000001</v>
      </c>
      <c r="E14" s="10">
        <f t="shared" si="2"/>
        <v>2610</v>
      </c>
      <c r="G14" s="5">
        <v>66069</v>
      </c>
      <c r="H14" s="6" t="s">
        <v>277</v>
      </c>
      <c r="I14" s="8">
        <v>3.0224699999999998</v>
      </c>
      <c r="J14" s="8">
        <v>0.30224699999999999</v>
      </c>
      <c r="K14" s="10">
        <v>2500</v>
      </c>
      <c r="M14" s="5">
        <v>66069</v>
      </c>
      <c r="N14" s="6" t="s">
        <v>277</v>
      </c>
      <c r="O14" s="8">
        <v>3.1969099999999999</v>
      </c>
      <c r="P14" s="8">
        <v>0.319691</v>
      </c>
      <c r="Q14" s="10">
        <v>2195</v>
      </c>
      <c r="S14" s="5">
        <v>922557</v>
      </c>
      <c r="T14" s="6" t="s">
        <v>282</v>
      </c>
      <c r="U14" s="8">
        <v>1.5</v>
      </c>
      <c r="V14" s="8">
        <v>0.15</v>
      </c>
      <c r="W14" s="10">
        <v>7800</v>
      </c>
      <c r="Y14" s="5">
        <v>922557</v>
      </c>
      <c r="Z14" s="6" t="s">
        <v>282</v>
      </c>
      <c r="AA14" s="8">
        <v>1.5</v>
      </c>
      <c r="AB14" s="8">
        <v>0.15</v>
      </c>
      <c r="AC14" s="10">
        <v>7900</v>
      </c>
    </row>
    <row r="15" spans="1:29" x14ac:dyDescent="0.25">
      <c r="A15" s="5">
        <v>922557</v>
      </c>
      <c r="B15" s="6" t="s">
        <v>282</v>
      </c>
      <c r="C15" s="8">
        <f t="shared" si="0"/>
        <v>1.5</v>
      </c>
      <c r="D15" s="8">
        <f t="shared" si="1"/>
        <v>0.15</v>
      </c>
      <c r="E15" s="10">
        <f t="shared" si="2"/>
        <v>7800</v>
      </c>
      <c r="G15" s="5">
        <v>91000</v>
      </c>
      <c r="H15" s="6" t="s">
        <v>306</v>
      </c>
      <c r="I15" s="8">
        <v>3</v>
      </c>
      <c r="J15" s="8">
        <v>0.3</v>
      </c>
      <c r="K15" s="10">
        <v>2650</v>
      </c>
      <c r="M15" s="5">
        <v>91000</v>
      </c>
      <c r="N15" s="6" t="s">
        <v>306</v>
      </c>
      <c r="O15" s="8">
        <v>3</v>
      </c>
      <c r="P15" s="8">
        <v>0.3</v>
      </c>
      <c r="Q15" s="10">
        <v>2200</v>
      </c>
      <c r="S15" s="5">
        <v>64680</v>
      </c>
      <c r="T15" s="6" t="s">
        <v>12</v>
      </c>
      <c r="U15" s="8">
        <v>1</v>
      </c>
      <c r="V15" s="8">
        <v>0.1</v>
      </c>
      <c r="W15" s="10">
        <v>2180</v>
      </c>
      <c r="Y15" s="5">
        <v>64680</v>
      </c>
      <c r="Z15" s="6" t="s">
        <v>12</v>
      </c>
      <c r="AA15" s="8">
        <v>1</v>
      </c>
      <c r="AB15" s="8">
        <v>0.1</v>
      </c>
      <c r="AC15" s="10">
        <v>1720</v>
      </c>
    </row>
    <row r="16" spans="1:29" x14ac:dyDescent="0.25">
      <c r="A16" s="5">
        <v>64680</v>
      </c>
      <c r="B16" s="6" t="s">
        <v>12</v>
      </c>
      <c r="C16" s="8">
        <f t="shared" si="0"/>
        <v>1</v>
      </c>
      <c r="D16" s="8">
        <f t="shared" si="1"/>
        <v>0.1</v>
      </c>
      <c r="E16" s="10">
        <f t="shared" si="2"/>
        <v>3850</v>
      </c>
      <c r="G16" s="5">
        <v>922557</v>
      </c>
      <c r="H16" s="6" t="s">
        <v>282</v>
      </c>
      <c r="I16" s="8">
        <v>1.5</v>
      </c>
      <c r="J16" s="8">
        <v>0.15</v>
      </c>
      <c r="K16" s="10">
        <v>7800</v>
      </c>
      <c r="M16" s="5">
        <v>64680</v>
      </c>
      <c r="N16" s="6" t="s">
        <v>12</v>
      </c>
      <c r="O16" s="8">
        <v>1</v>
      </c>
      <c r="P16" s="8">
        <v>0.1</v>
      </c>
      <c r="Q16" s="10">
        <v>2305</v>
      </c>
      <c r="S16" s="5">
        <v>66300</v>
      </c>
      <c r="T16" s="6" t="s">
        <v>11</v>
      </c>
      <c r="U16" s="8">
        <v>0.65</v>
      </c>
      <c r="V16" s="8">
        <v>6.5000000000000002E-2</v>
      </c>
      <c r="W16" s="10">
        <v>3300</v>
      </c>
      <c r="Y16" s="5">
        <v>66300</v>
      </c>
      <c r="Z16" s="6" t="s">
        <v>11</v>
      </c>
      <c r="AA16" s="8">
        <v>1</v>
      </c>
      <c r="AB16" s="8">
        <v>0.1</v>
      </c>
      <c r="AC16" s="10">
        <v>3200</v>
      </c>
    </row>
    <row r="17" spans="1:29" x14ac:dyDescent="0.25">
      <c r="A17" s="5">
        <v>66300</v>
      </c>
      <c r="B17" s="6" t="s">
        <v>11</v>
      </c>
      <c r="C17" s="8">
        <f t="shared" si="0"/>
        <v>0.6</v>
      </c>
      <c r="D17" s="8">
        <f t="shared" si="1"/>
        <v>0.06</v>
      </c>
      <c r="E17" s="10">
        <f t="shared" si="2"/>
        <v>4000</v>
      </c>
      <c r="G17" s="5">
        <v>64680</v>
      </c>
      <c r="H17" s="6" t="s">
        <v>12</v>
      </c>
      <c r="I17" s="8">
        <v>1</v>
      </c>
      <c r="J17" s="8">
        <v>0.1</v>
      </c>
      <c r="K17" s="10">
        <v>3750</v>
      </c>
      <c r="M17" s="5">
        <v>66300</v>
      </c>
      <c r="N17" s="6" t="s">
        <v>11</v>
      </c>
      <c r="O17" s="8">
        <v>0.65</v>
      </c>
      <c r="P17" s="8">
        <v>6.5000000000000002E-2</v>
      </c>
      <c r="Q17" s="10">
        <v>13750</v>
      </c>
      <c r="S17" s="5">
        <v>66100</v>
      </c>
      <c r="T17" s="6" t="s">
        <v>13</v>
      </c>
      <c r="U17" s="8">
        <v>0</v>
      </c>
      <c r="V17" s="8">
        <v>0</v>
      </c>
      <c r="W17" s="10">
        <v>4350</v>
      </c>
      <c r="Y17" s="5">
        <v>66100</v>
      </c>
      <c r="Z17" s="6" t="s">
        <v>13</v>
      </c>
      <c r="AA17" s="8">
        <v>0.15</v>
      </c>
      <c r="AB17" s="8">
        <v>1.4999999999999999E-2</v>
      </c>
      <c r="AC17" s="10">
        <v>4525</v>
      </c>
    </row>
    <row r="18" spans="1:29" x14ac:dyDescent="0.25">
      <c r="A18" s="5">
        <v>10020</v>
      </c>
      <c r="B18" s="6" t="s">
        <v>17</v>
      </c>
      <c r="C18" s="8">
        <f t="shared" si="0"/>
        <v>0</v>
      </c>
      <c r="D18" s="8">
        <f t="shared" si="1"/>
        <v>0</v>
      </c>
      <c r="E18" s="10">
        <f t="shared" si="2"/>
        <v>430</v>
      </c>
      <c r="G18" s="5">
        <v>66300</v>
      </c>
      <c r="H18" s="6" t="s">
        <v>11</v>
      </c>
      <c r="I18" s="8">
        <v>0.65</v>
      </c>
      <c r="J18" s="8">
        <v>6.5000000000000002E-2</v>
      </c>
      <c r="K18" s="10">
        <v>3900</v>
      </c>
      <c r="M18" s="5">
        <v>922557</v>
      </c>
      <c r="N18" s="6" t="s">
        <v>282</v>
      </c>
      <c r="O18" s="8">
        <v>1.5</v>
      </c>
      <c r="P18" s="8">
        <v>0.15</v>
      </c>
      <c r="Q18" s="10">
        <v>7800</v>
      </c>
      <c r="S18" s="5">
        <v>10020</v>
      </c>
      <c r="T18" s="6" t="s">
        <v>17</v>
      </c>
      <c r="U18" s="8">
        <v>0</v>
      </c>
      <c r="V18" s="8">
        <v>0</v>
      </c>
      <c r="W18" s="10">
        <v>379</v>
      </c>
      <c r="Y18" s="5">
        <v>10020</v>
      </c>
      <c r="Z18" s="6" t="s">
        <v>17</v>
      </c>
      <c r="AA18" s="8">
        <v>0</v>
      </c>
      <c r="AB18" s="8">
        <v>0</v>
      </c>
      <c r="AC18" s="10">
        <v>321.51</v>
      </c>
    </row>
    <row r="19" spans="1:29" x14ac:dyDescent="0.25">
      <c r="A19" s="5">
        <v>14320</v>
      </c>
      <c r="B19" s="6" t="s">
        <v>269</v>
      </c>
      <c r="C19" s="8">
        <f t="shared" si="0"/>
        <v>0</v>
      </c>
      <c r="D19" s="8">
        <f t="shared" si="1"/>
        <v>0</v>
      </c>
      <c r="E19" s="10">
        <f t="shared" si="2"/>
        <v>468</v>
      </c>
      <c r="G19" s="5">
        <v>14320</v>
      </c>
      <c r="H19" s="6" t="s">
        <v>269</v>
      </c>
      <c r="I19" s="8">
        <v>0</v>
      </c>
      <c r="J19" s="8">
        <v>0</v>
      </c>
      <c r="K19" s="10">
        <v>455</v>
      </c>
      <c r="M19" s="5">
        <v>11132</v>
      </c>
      <c r="N19" s="6" t="s">
        <v>16</v>
      </c>
      <c r="O19" s="8">
        <v>0</v>
      </c>
      <c r="P19" s="8">
        <v>0</v>
      </c>
      <c r="Q19" s="10">
        <v>395</v>
      </c>
      <c r="S19" s="5">
        <v>11132</v>
      </c>
      <c r="T19" s="6" t="s">
        <v>16</v>
      </c>
      <c r="U19" s="8">
        <v>0</v>
      </c>
      <c r="V19" s="8">
        <v>0</v>
      </c>
      <c r="W19" s="10">
        <v>40</v>
      </c>
      <c r="Y19" s="5">
        <v>11132</v>
      </c>
      <c r="Z19" s="6" t="s">
        <v>16</v>
      </c>
      <c r="AA19" s="8">
        <v>0</v>
      </c>
      <c r="AB19" s="8">
        <v>0</v>
      </c>
      <c r="AC19" s="10">
        <v>400</v>
      </c>
    </row>
    <row r="21" spans="1:29" x14ac:dyDescent="0.25">
      <c r="C21" s="8"/>
      <c r="D21" s="8"/>
      <c r="E21" s="10"/>
      <c r="I21" s="8"/>
      <c r="J21" s="8"/>
      <c r="K21" s="10"/>
      <c r="O21" s="8"/>
      <c r="P21" s="8"/>
      <c r="Q21" s="10"/>
      <c r="U21" s="8"/>
      <c r="V21" s="8"/>
      <c r="W21" s="10"/>
      <c r="AA21" s="8"/>
      <c r="AB21" s="8"/>
      <c r="AC21" s="10"/>
    </row>
    <row r="22" spans="1:29" x14ac:dyDescent="0.25">
      <c r="C22" s="8"/>
      <c r="D22" s="8"/>
      <c r="E22" s="10"/>
      <c r="I22" s="8"/>
      <c r="J22" s="8"/>
      <c r="K22" s="10"/>
      <c r="O22" s="8"/>
      <c r="P22" s="8"/>
      <c r="Q22" s="10"/>
      <c r="U22" s="8"/>
      <c r="V22" s="8"/>
      <c r="W22" s="10"/>
      <c r="AA22" s="8"/>
      <c r="AB22" s="8"/>
      <c r="AC22" s="10"/>
    </row>
    <row r="23" spans="1:29" ht="16.5" thickBot="1" x14ac:dyDescent="0.3">
      <c r="B23" s="11" t="s">
        <v>6</v>
      </c>
      <c r="C23" s="12">
        <f>SUM(C6:C22)</f>
        <v>999.99999999999989</v>
      </c>
      <c r="D23" s="13">
        <f>SUM(D6:D22)</f>
        <v>100</v>
      </c>
      <c r="E23" s="198">
        <f>SUMPRODUCT(C6:C22,E6:E22/1000)</f>
        <v>445.01706755999999</v>
      </c>
      <c r="H23" s="11" t="s">
        <v>6</v>
      </c>
      <c r="I23" s="12">
        <v>1000</v>
      </c>
      <c r="J23" s="13">
        <v>100</v>
      </c>
      <c r="K23" s="198">
        <v>437.78804771999995</v>
      </c>
      <c r="N23" s="11" t="s">
        <v>6</v>
      </c>
      <c r="O23" s="12">
        <v>1000</v>
      </c>
      <c r="P23" s="13">
        <v>99.999999999999986</v>
      </c>
      <c r="Q23" s="198">
        <v>429.18968799999999</v>
      </c>
      <c r="T23" s="11" t="s">
        <v>6</v>
      </c>
      <c r="U23" s="12">
        <v>1000</v>
      </c>
      <c r="V23" s="13">
        <v>100</v>
      </c>
      <c r="W23" s="198">
        <v>417.19877029999998</v>
      </c>
      <c r="Z23" s="11" t="s">
        <v>6</v>
      </c>
      <c r="AA23" s="12">
        <v>1000</v>
      </c>
      <c r="AB23" s="13">
        <v>100</v>
      </c>
      <c r="AC23" s="198">
        <v>355.81134403179999</v>
      </c>
    </row>
    <row r="24" spans="1:29" x14ac:dyDescent="0.25">
      <c r="C24"/>
      <c r="D24"/>
      <c r="E24" s="201">
        <f>E23-K23</f>
        <v>7.2290198400000349</v>
      </c>
      <c r="I24"/>
      <c r="J24"/>
      <c r="K24" s="201">
        <v>8.5983597199999622</v>
      </c>
      <c r="O24"/>
      <c r="P24"/>
      <c r="Q24" s="201">
        <v>11.990917700000011</v>
      </c>
      <c r="U24"/>
      <c r="V24"/>
      <c r="W24" s="201">
        <v>61.387426268199988</v>
      </c>
      <c r="AA24"/>
      <c r="AB24"/>
      <c r="AC24" s="201"/>
    </row>
    <row r="25" spans="1:29" ht="16.5" thickBot="1" x14ac:dyDescent="0.3">
      <c r="C25"/>
      <c r="D25"/>
      <c r="E25" s="187"/>
      <c r="I25"/>
      <c r="J25"/>
      <c r="K25" s="187"/>
      <c r="O25"/>
      <c r="P25"/>
      <c r="Q25" s="187"/>
      <c r="U25"/>
      <c r="V25"/>
      <c r="W25" s="187"/>
      <c r="AA25"/>
      <c r="AB25"/>
      <c r="AC25" s="187"/>
    </row>
    <row r="26" spans="1:29" x14ac:dyDescent="0.25">
      <c r="B26" s="14" t="s">
        <v>7</v>
      </c>
      <c r="C26" s="14" t="s">
        <v>8</v>
      </c>
      <c r="D26" s="14" t="s">
        <v>9</v>
      </c>
      <c r="E26"/>
      <c r="H26" s="14" t="s">
        <v>7</v>
      </c>
      <c r="I26" s="14" t="s">
        <v>8</v>
      </c>
      <c r="J26" s="14" t="s">
        <v>9</v>
      </c>
      <c r="K26"/>
      <c r="N26" s="14" t="s">
        <v>7</v>
      </c>
      <c r="O26" s="14" t="s">
        <v>8</v>
      </c>
      <c r="P26" s="14" t="s">
        <v>9</v>
      </c>
      <c r="Q26"/>
      <c r="T26" s="14" t="s">
        <v>7</v>
      </c>
      <c r="U26" s="14" t="s">
        <v>8</v>
      </c>
      <c r="V26" s="14" t="s">
        <v>9</v>
      </c>
      <c r="W26"/>
      <c r="Z26" s="14" t="s">
        <v>7</v>
      </c>
      <c r="AA26" s="14" t="s">
        <v>8</v>
      </c>
      <c r="AB26" s="14" t="s">
        <v>9</v>
      </c>
      <c r="AC26"/>
    </row>
    <row r="27" spans="1:29" x14ac:dyDescent="0.25">
      <c r="B27" s="6" t="s">
        <v>18</v>
      </c>
      <c r="C27" s="6" t="s">
        <v>19</v>
      </c>
      <c r="D27" s="178">
        <f t="shared" ref="D27:D58" si="3">IFERROR(VLOOKUP(B27,raw_2,3,FALSE),0)</f>
        <v>100</v>
      </c>
      <c r="H27" s="6" t="s">
        <v>18</v>
      </c>
      <c r="I27" s="6" t="s">
        <v>19</v>
      </c>
      <c r="J27" s="178">
        <v>100</v>
      </c>
      <c r="N27" s="6" t="s">
        <v>18</v>
      </c>
      <c r="O27" s="6" t="s">
        <v>19</v>
      </c>
      <c r="P27" s="178">
        <v>100</v>
      </c>
      <c r="T27" s="6" t="s">
        <v>18</v>
      </c>
      <c r="U27" s="6" t="s">
        <v>19</v>
      </c>
      <c r="V27" s="178">
        <v>100</v>
      </c>
      <c r="Z27" s="6" t="s">
        <v>18</v>
      </c>
      <c r="AA27" s="6" t="s">
        <v>19</v>
      </c>
      <c r="AB27" s="178">
        <v>100</v>
      </c>
    </row>
    <row r="28" spans="1:29" x14ac:dyDescent="0.25">
      <c r="B28" s="6" t="s">
        <v>20</v>
      </c>
      <c r="C28" s="6" t="s">
        <v>19</v>
      </c>
      <c r="D28" s="178">
        <f t="shared" si="3"/>
        <v>88.406261999999998</v>
      </c>
      <c r="H28" s="6" t="s">
        <v>20</v>
      </c>
      <c r="I28" s="6" t="s">
        <v>19</v>
      </c>
      <c r="J28" s="178">
        <v>88.218616999999995</v>
      </c>
      <c r="N28" s="6" t="s">
        <v>20</v>
      </c>
      <c r="O28" s="6" t="s">
        <v>19</v>
      </c>
      <c r="P28" s="178">
        <v>88.073235999999994</v>
      </c>
      <c r="T28" s="6" t="s">
        <v>20</v>
      </c>
      <c r="U28" s="6" t="s">
        <v>19</v>
      </c>
      <c r="V28" s="178">
        <v>88.769676000000004</v>
      </c>
      <c r="Z28" s="6" t="s">
        <v>20</v>
      </c>
      <c r="AA28" s="6" t="s">
        <v>19</v>
      </c>
      <c r="AB28" s="178">
        <v>88.658039000000002</v>
      </c>
    </row>
    <row r="29" spans="1:29" x14ac:dyDescent="0.25">
      <c r="B29" s="6" t="s">
        <v>21</v>
      </c>
      <c r="C29" s="6" t="s">
        <v>19</v>
      </c>
      <c r="D29" s="178">
        <f t="shared" si="3"/>
        <v>14.287184</v>
      </c>
      <c r="H29" s="6" t="s">
        <v>21</v>
      </c>
      <c r="I29" s="6" t="s">
        <v>19</v>
      </c>
      <c r="J29" s="178">
        <v>13.936287999999999</v>
      </c>
      <c r="N29" s="6" t="s">
        <v>21</v>
      </c>
      <c r="O29" s="6" t="s">
        <v>19</v>
      </c>
      <c r="P29" s="178">
        <v>13.859862</v>
      </c>
      <c r="T29" s="6" t="s">
        <v>21</v>
      </c>
      <c r="U29" s="6" t="s">
        <v>19</v>
      </c>
      <c r="V29" s="178">
        <v>14.987990999999999</v>
      </c>
      <c r="Z29" s="6" t="s">
        <v>21</v>
      </c>
      <c r="AA29" s="6" t="s">
        <v>19</v>
      </c>
      <c r="AB29" s="178">
        <v>13.693894999999999</v>
      </c>
    </row>
    <row r="30" spans="1:29" x14ac:dyDescent="0.25">
      <c r="B30" s="6" t="s">
        <v>22</v>
      </c>
      <c r="C30" s="6" t="s">
        <v>19</v>
      </c>
      <c r="D30" s="178">
        <f t="shared" si="3"/>
        <v>4.2169930000000004</v>
      </c>
      <c r="H30" s="6" t="s">
        <v>22</v>
      </c>
      <c r="I30" s="6" t="s">
        <v>19</v>
      </c>
      <c r="J30" s="178">
        <v>3.5761210000000001</v>
      </c>
      <c r="N30" s="6" t="s">
        <v>22</v>
      </c>
      <c r="O30" s="6" t="s">
        <v>19</v>
      </c>
      <c r="P30" s="178">
        <v>2.5808080000000002</v>
      </c>
      <c r="T30" s="6" t="s">
        <v>22</v>
      </c>
      <c r="U30" s="6" t="s">
        <v>19</v>
      </c>
      <c r="V30" s="178">
        <v>3.0616569999999999</v>
      </c>
      <c r="Z30" s="6" t="s">
        <v>22</v>
      </c>
      <c r="AA30" s="6" t="s">
        <v>19</v>
      </c>
      <c r="AB30" s="178">
        <v>2.4716719999999999</v>
      </c>
    </row>
    <row r="31" spans="1:29" x14ac:dyDescent="0.25">
      <c r="B31" s="15" t="s">
        <v>23</v>
      </c>
      <c r="C31" s="15" t="s">
        <v>19</v>
      </c>
      <c r="D31" s="179">
        <f t="shared" si="3"/>
        <v>5.4543220000000003</v>
      </c>
      <c r="H31" s="15" t="s">
        <v>23</v>
      </c>
      <c r="I31" s="15" t="s">
        <v>19</v>
      </c>
      <c r="J31" s="179">
        <v>5.0501990000000001</v>
      </c>
      <c r="N31" s="15" t="s">
        <v>23</v>
      </c>
      <c r="O31" s="15" t="s">
        <v>19</v>
      </c>
      <c r="P31" s="179">
        <v>4.3635700000000002</v>
      </c>
      <c r="T31" s="15" t="s">
        <v>23</v>
      </c>
      <c r="U31" s="15" t="s">
        <v>19</v>
      </c>
      <c r="V31" s="179">
        <v>4.6566169999999998</v>
      </c>
      <c r="Z31" s="15" t="s">
        <v>23</v>
      </c>
      <c r="AA31" s="15" t="s">
        <v>19</v>
      </c>
      <c r="AB31" s="179">
        <v>4.3501839999999996</v>
      </c>
    </row>
    <row r="32" spans="1:29" x14ac:dyDescent="0.25">
      <c r="B32" s="6" t="s">
        <v>24</v>
      </c>
      <c r="C32" s="6" t="s">
        <v>19</v>
      </c>
      <c r="D32" s="178">
        <f t="shared" si="3"/>
        <v>5.7803100000000001</v>
      </c>
      <c r="H32" s="6" t="s">
        <v>24</v>
      </c>
      <c r="I32" s="6" t="s">
        <v>19</v>
      </c>
      <c r="J32" s="178">
        <v>5.712701</v>
      </c>
      <c r="N32" s="6" t="s">
        <v>24</v>
      </c>
      <c r="O32" s="6" t="s">
        <v>19</v>
      </c>
      <c r="P32" s="178">
        <v>5.5639799999999999</v>
      </c>
      <c r="T32" s="6" t="s">
        <v>24</v>
      </c>
      <c r="U32" s="6" t="s">
        <v>19</v>
      </c>
      <c r="V32" s="178">
        <v>5.6337190000000001</v>
      </c>
      <c r="Z32" s="6" t="s">
        <v>24</v>
      </c>
      <c r="AA32" s="6" t="s">
        <v>19</v>
      </c>
      <c r="AB32" s="178">
        <v>5.4555110000000004</v>
      </c>
    </row>
    <row r="33" spans="1:29" x14ac:dyDescent="0.25">
      <c r="B33" s="6" t="s">
        <v>25</v>
      </c>
      <c r="C33" s="6" t="s">
        <v>19</v>
      </c>
      <c r="D33" s="178">
        <f t="shared" si="3"/>
        <v>11.593738</v>
      </c>
      <c r="H33" s="6" t="s">
        <v>25</v>
      </c>
      <c r="I33" s="6" t="s">
        <v>19</v>
      </c>
      <c r="J33" s="178">
        <v>11.781383</v>
      </c>
      <c r="N33" s="6" t="s">
        <v>25</v>
      </c>
      <c r="O33" s="6" t="s">
        <v>19</v>
      </c>
      <c r="P33" s="178">
        <v>11.926764</v>
      </c>
      <c r="T33" s="6" t="s">
        <v>25</v>
      </c>
      <c r="U33" s="6" t="s">
        <v>19</v>
      </c>
      <c r="V33" s="178">
        <v>11.230324</v>
      </c>
      <c r="Z33" s="6" t="s">
        <v>25</v>
      </c>
      <c r="AA33" s="6" t="s">
        <v>19</v>
      </c>
      <c r="AB33" s="178">
        <v>11.341961</v>
      </c>
    </row>
    <row r="34" spans="1:29" x14ac:dyDescent="0.25">
      <c r="B34" s="6" t="s">
        <v>178</v>
      </c>
      <c r="C34" s="6" t="s">
        <v>19</v>
      </c>
      <c r="D34" s="178">
        <f t="shared" si="3"/>
        <v>58.573532</v>
      </c>
      <c r="H34" s="6" t="s">
        <v>178</v>
      </c>
      <c r="I34" s="6" t="s">
        <v>19</v>
      </c>
      <c r="J34" s="178">
        <v>59.849525999999997</v>
      </c>
      <c r="N34" s="6" t="s">
        <v>178</v>
      </c>
      <c r="O34" s="6" t="s">
        <v>19</v>
      </c>
      <c r="P34" s="178">
        <v>61.611373</v>
      </c>
      <c r="T34" s="6" t="s">
        <v>178</v>
      </c>
      <c r="U34" s="6" t="s">
        <v>19</v>
      </c>
      <c r="V34" s="178">
        <v>60.336074000000004</v>
      </c>
      <c r="Z34" s="6" t="s">
        <v>178</v>
      </c>
      <c r="AA34" s="6" t="s">
        <v>19</v>
      </c>
      <c r="AB34" s="178">
        <v>62.593130000000002</v>
      </c>
    </row>
    <row r="35" spans="1:29" x14ac:dyDescent="0.25">
      <c r="B35" s="6" t="s">
        <v>26</v>
      </c>
      <c r="C35" s="6" t="s">
        <v>19</v>
      </c>
      <c r="D35" s="178">
        <f t="shared" si="3"/>
        <v>19.905228000000001</v>
      </c>
      <c r="H35" s="6" t="s">
        <v>26</v>
      </c>
      <c r="I35" s="6" t="s">
        <v>19</v>
      </c>
      <c r="J35" s="178">
        <v>19.753625</v>
      </c>
      <c r="N35" s="6" t="s">
        <v>26</v>
      </c>
      <c r="O35" s="6" t="s">
        <v>19</v>
      </c>
      <c r="P35" s="178">
        <v>19.014813</v>
      </c>
      <c r="T35" s="6" t="s">
        <v>26</v>
      </c>
      <c r="U35" s="6" t="s">
        <v>19</v>
      </c>
      <c r="V35" s="178">
        <v>19.232023000000002</v>
      </c>
      <c r="Z35" s="6" t="s">
        <v>26</v>
      </c>
      <c r="AA35" s="6" t="s">
        <v>19</v>
      </c>
      <c r="AB35" s="178">
        <v>17.677268999999999</v>
      </c>
    </row>
    <row r="36" spans="1:29" x14ac:dyDescent="0.25">
      <c r="B36" s="6" t="s">
        <v>27</v>
      </c>
      <c r="C36" s="6" t="s">
        <v>19</v>
      </c>
      <c r="D36" s="178">
        <f t="shared" si="3"/>
        <v>6.8649570000000004</v>
      </c>
      <c r="H36" s="6" t="s">
        <v>27</v>
      </c>
      <c r="I36" s="6" t="s">
        <v>19</v>
      </c>
      <c r="J36" s="178">
        <v>6.9873310000000002</v>
      </c>
      <c r="N36" s="6" t="s">
        <v>27</v>
      </c>
      <c r="O36" s="6" t="s">
        <v>19</v>
      </c>
      <c r="P36" s="178">
        <v>6.8133489999999997</v>
      </c>
      <c r="T36" s="6" t="s">
        <v>27</v>
      </c>
      <c r="U36" s="6" t="s">
        <v>19</v>
      </c>
      <c r="V36" s="178">
        <v>5.7726660000000001</v>
      </c>
      <c r="Z36" s="6" t="s">
        <v>27</v>
      </c>
      <c r="AA36" s="6" t="s">
        <v>19</v>
      </c>
      <c r="AB36" s="178">
        <v>4.9198389999999996</v>
      </c>
    </row>
    <row r="37" spans="1:29" x14ac:dyDescent="0.25">
      <c r="B37" s="6" t="s">
        <v>179</v>
      </c>
      <c r="C37" s="6" t="s">
        <v>19</v>
      </c>
      <c r="D37" s="178">
        <f t="shared" si="3"/>
        <v>27.523164000000001</v>
      </c>
      <c r="H37" s="6" t="s">
        <v>179</v>
      </c>
      <c r="I37" s="6" t="s">
        <v>19</v>
      </c>
      <c r="J37" s="178">
        <v>24.168013999999999</v>
      </c>
      <c r="N37" s="6" t="s">
        <v>179</v>
      </c>
      <c r="O37" s="6" t="s">
        <v>19</v>
      </c>
      <c r="P37" s="178">
        <v>18.573986000000001</v>
      </c>
      <c r="T37" s="6" t="s">
        <v>179</v>
      </c>
      <c r="U37" s="6" t="s">
        <v>19</v>
      </c>
      <c r="V37" s="178">
        <v>22.205477999999999</v>
      </c>
      <c r="Z37" s="6" t="s">
        <v>179</v>
      </c>
      <c r="AA37" s="6" t="s">
        <v>19</v>
      </c>
      <c r="AB37" s="178">
        <v>19.967618999999999</v>
      </c>
    </row>
    <row r="38" spans="1:29" x14ac:dyDescent="0.25">
      <c r="B38" s="6" t="s">
        <v>28</v>
      </c>
      <c r="C38" s="6" t="s">
        <v>19</v>
      </c>
      <c r="D38" s="178">
        <f t="shared" si="3"/>
        <v>37.540247000000001</v>
      </c>
      <c r="H38" s="6" t="s">
        <v>28</v>
      </c>
      <c r="I38" s="6" t="s">
        <v>19</v>
      </c>
      <c r="J38" s="178">
        <v>39.266030999999998</v>
      </c>
      <c r="N38" s="6" t="s">
        <v>28</v>
      </c>
      <c r="O38" s="6" t="s">
        <v>19</v>
      </c>
      <c r="P38" s="178">
        <v>41.825961</v>
      </c>
      <c r="T38" s="6" t="s">
        <v>28</v>
      </c>
      <c r="U38" s="6" t="s">
        <v>19</v>
      </c>
      <c r="V38" s="178">
        <v>38.749642000000001</v>
      </c>
      <c r="Z38" s="6" t="s">
        <v>28</v>
      </c>
      <c r="AA38" s="6" t="s">
        <v>19</v>
      </c>
      <c r="AB38" s="178">
        <v>43.270530999999998</v>
      </c>
    </row>
    <row r="39" spans="1:29" x14ac:dyDescent="0.25">
      <c r="B39" s="6" t="s">
        <v>180</v>
      </c>
      <c r="C39" s="6" t="s">
        <v>19</v>
      </c>
      <c r="D39" s="178">
        <f t="shared" si="3"/>
        <v>3.3305340000000001</v>
      </c>
      <c r="H39" s="6" t="s">
        <v>180</v>
      </c>
      <c r="I39" s="6" t="s">
        <v>19</v>
      </c>
      <c r="J39" s="178">
        <v>2.9052769999999999</v>
      </c>
      <c r="N39" s="6" t="s">
        <v>180</v>
      </c>
      <c r="O39" s="6" t="s">
        <v>19</v>
      </c>
      <c r="P39" s="178">
        <v>2.3980399999999999</v>
      </c>
      <c r="T39" s="6" t="s">
        <v>180</v>
      </c>
      <c r="U39" s="6" t="s">
        <v>19</v>
      </c>
      <c r="V39" s="178">
        <v>3.341958</v>
      </c>
      <c r="Z39" s="6" t="s">
        <v>180</v>
      </c>
      <c r="AA39" s="6" t="s">
        <v>19</v>
      </c>
      <c r="AB39" s="178">
        <v>3.6703160000000001</v>
      </c>
    </row>
    <row r="40" spans="1:29" x14ac:dyDescent="0.25">
      <c r="B40" s="6" t="s">
        <v>119</v>
      </c>
      <c r="C40" s="6" t="s">
        <v>19</v>
      </c>
      <c r="D40" s="178">
        <f t="shared" si="3"/>
        <v>0</v>
      </c>
      <c r="H40" s="6" t="s">
        <v>119</v>
      </c>
      <c r="I40" s="6" t="s">
        <v>19</v>
      </c>
      <c r="J40" s="178">
        <v>0</v>
      </c>
      <c r="N40" s="6" t="s">
        <v>119</v>
      </c>
      <c r="O40" s="6" t="s">
        <v>19</v>
      </c>
      <c r="P40" s="178">
        <v>0</v>
      </c>
      <c r="T40" s="6" t="s">
        <v>119</v>
      </c>
      <c r="U40" s="6" t="s">
        <v>19</v>
      </c>
      <c r="V40" s="178">
        <v>0</v>
      </c>
      <c r="Z40" s="6" t="s">
        <v>119</v>
      </c>
      <c r="AA40" s="6" t="s">
        <v>19</v>
      </c>
      <c r="AB40" s="178">
        <v>0</v>
      </c>
    </row>
    <row r="41" spans="1:29" x14ac:dyDescent="0.25">
      <c r="B41" s="6" t="s">
        <v>29</v>
      </c>
      <c r="C41" s="6" t="s">
        <v>30</v>
      </c>
      <c r="D41" s="178">
        <f t="shared" si="3"/>
        <v>3.0185719999999998</v>
      </c>
      <c r="H41" s="6" t="s">
        <v>29</v>
      </c>
      <c r="I41" s="6" t="s">
        <v>30</v>
      </c>
      <c r="J41" s="178">
        <v>3.0373790000000001</v>
      </c>
      <c r="N41" s="6" t="s">
        <v>29</v>
      </c>
      <c r="O41" s="6" t="s">
        <v>30</v>
      </c>
      <c r="P41" s="178">
        <v>3.0880990000000001</v>
      </c>
      <c r="T41" s="6" t="s">
        <v>29</v>
      </c>
      <c r="U41" s="6" t="s">
        <v>30</v>
      </c>
      <c r="V41" s="178">
        <v>3.0673349999999999</v>
      </c>
      <c r="Z41" s="6" t="s">
        <v>29</v>
      </c>
      <c r="AA41" s="6" t="s">
        <v>30</v>
      </c>
      <c r="AB41" s="178">
        <v>3.0385200000000001</v>
      </c>
    </row>
    <row r="42" spans="1:29" x14ac:dyDescent="0.25">
      <c r="B42" s="6" t="s">
        <v>31</v>
      </c>
      <c r="C42" s="6" t="s">
        <v>30</v>
      </c>
      <c r="D42" s="178">
        <f t="shared" si="3"/>
        <v>2.9075470000000001</v>
      </c>
      <c r="H42" s="6" t="s">
        <v>31</v>
      </c>
      <c r="I42" s="6" t="s">
        <v>30</v>
      </c>
      <c r="J42" s="178">
        <v>2.9264990000000002</v>
      </c>
      <c r="N42" s="6" t="s">
        <v>31</v>
      </c>
      <c r="O42" s="6" t="s">
        <v>30</v>
      </c>
      <c r="P42" s="178">
        <v>2.975228</v>
      </c>
      <c r="T42" s="6" t="s">
        <v>31</v>
      </c>
      <c r="U42" s="6" t="s">
        <v>30</v>
      </c>
      <c r="V42" s="178">
        <v>2.9523489999999999</v>
      </c>
      <c r="Z42" s="6" t="s">
        <v>31</v>
      </c>
      <c r="AA42" s="6" t="s">
        <v>30</v>
      </c>
      <c r="AB42" s="178">
        <v>2.9257759999999999</v>
      </c>
    </row>
    <row r="43" spans="1:29" x14ac:dyDescent="0.25">
      <c r="B43" s="18" t="s">
        <v>32</v>
      </c>
      <c r="C43" s="18" t="s">
        <v>30</v>
      </c>
      <c r="D43" s="180">
        <f t="shared" si="3"/>
        <v>2.182528</v>
      </c>
      <c r="H43" s="18" t="s">
        <v>32</v>
      </c>
      <c r="I43" s="18" t="s">
        <v>30</v>
      </c>
      <c r="J43" s="180">
        <v>2.1905380000000001</v>
      </c>
      <c r="N43" s="18" t="s">
        <v>32</v>
      </c>
      <c r="O43" s="18" t="s">
        <v>30</v>
      </c>
      <c r="P43" s="180">
        <v>2.2177069999999999</v>
      </c>
      <c r="T43" s="18" t="s">
        <v>32</v>
      </c>
      <c r="U43" s="18" t="s">
        <v>30</v>
      </c>
      <c r="V43" s="180">
        <v>2.206636</v>
      </c>
      <c r="Z43" s="18" t="s">
        <v>32</v>
      </c>
      <c r="AA43" s="18" t="s">
        <v>30</v>
      </c>
      <c r="AB43" s="180">
        <v>2.21374</v>
      </c>
    </row>
    <row r="44" spans="1:29" x14ac:dyDescent="0.25">
      <c r="B44" s="15" t="s">
        <v>33</v>
      </c>
      <c r="C44" s="15" t="s">
        <v>30</v>
      </c>
      <c r="D44" s="179">
        <f t="shared" si="3"/>
        <v>2.278737</v>
      </c>
      <c r="H44" s="15" t="s">
        <v>33</v>
      </c>
      <c r="I44" s="15" t="s">
        <v>30</v>
      </c>
      <c r="J44" s="179">
        <v>2.2698040000000002</v>
      </c>
      <c r="N44" s="15" t="s">
        <v>33</v>
      </c>
      <c r="O44" s="15" t="s">
        <v>30</v>
      </c>
      <c r="P44" s="179">
        <v>2.2696589999999999</v>
      </c>
      <c r="T44" s="15" t="s">
        <v>33</v>
      </c>
      <c r="U44" s="15" t="s">
        <v>30</v>
      </c>
      <c r="V44" s="179">
        <v>2.2703890000000002</v>
      </c>
      <c r="Z44" s="15" t="s">
        <v>33</v>
      </c>
      <c r="AA44" s="15" t="s">
        <v>30</v>
      </c>
      <c r="AB44" s="179">
        <v>2.2703329999999999</v>
      </c>
    </row>
    <row r="45" spans="1:29" x14ac:dyDescent="0.25">
      <c r="B45" s="15" t="s">
        <v>34</v>
      </c>
      <c r="C45" s="15" t="s">
        <v>19</v>
      </c>
      <c r="D45" s="179">
        <f t="shared" si="3"/>
        <v>0.84476099999999998</v>
      </c>
      <c r="H45" s="15" t="s">
        <v>34</v>
      </c>
      <c r="I45" s="15" t="s">
        <v>19</v>
      </c>
      <c r="J45" s="179">
        <v>0.85246</v>
      </c>
      <c r="N45" s="15" t="s">
        <v>34</v>
      </c>
      <c r="O45" s="15" t="s">
        <v>19</v>
      </c>
      <c r="P45" s="179">
        <v>0.84897900000000004</v>
      </c>
      <c r="T45" s="15" t="s">
        <v>34</v>
      </c>
      <c r="U45" s="15" t="s">
        <v>19</v>
      </c>
      <c r="V45" s="179">
        <v>0.85237099999999999</v>
      </c>
      <c r="Z45" s="15" t="s">
        <v>34</v>
      </c>
      <c r="AA45" s="15" t="s">
        <v>19</v>
      </c>
      <c r="AB45" s="179">
        <v>0.84174099999999996</v>
      </c>
    </row>
    <row r="46" spans="1:29" s="36" customFormat="1" x14ac:dyDescent="0.25">
      <c r="A46" s="35"/>
      <c r="B46" s="18" t="s">
        <v>225</v>
      </c>
      <c r="C46" s="18" t="s">
        <v>19</v>
      </c>
      <c r="D46" s="180">
        <f t="shared" si="3"/>
        <v>0</v>
      </c>
      <c r="E46" s="180"/>
      <c r="G46" s="35"/>
      <c r="H46" s="18" t="s">
        <v>225</v>
      </c>
      <c r="I46" s="18" t="s">
        <v>19</v>
      </c>
      <c r="J46" s="180">
        <v>0</v>
      </c>
      <c r="K46" s="180"/>
      <c r="M46" s="35"/>
      <c r="N46" s="18" t="s">
        <v>225</v>
      </c>
      <c r="O46" s="18" t="s">
        <v>19</v>
      </c>
      <c r="P46" s="180">
        <v>0</v>
      </c>
      <c r="Q46" s="180"/>
      <c r="S46" s="35"/>
      <c r="T46" s="18" t="s">
        <v>225</v>
      </c>
      <c r="U46" s="18" t="s">
        <v>19</v>
      </c>
      <c r="V46" s="180">
        <v>0</v>
      </c>
      <c r="W46" s="180"/>
      <c r="Y46" s="35"/>
      <c r="Z46" s="18" t="s">
        <v>225</v>
      </c>
      <c r="AA46" s="18" t="s">
        <v>19</v>
      </c>
      <c r="AB46" s="180">
        <v>0</v>
      </c>
      <c r="AC46" s="180"/>
    </row>
    <row r="47" spans="1:29" s="36" customFormat="1" x14ac:dyDescent="0.25">
      <c r="A47" s="35"/>
      <c r="B47" s="18" t="s">
        <v>226</v>
      </c>
      <c r="C47" s="18" t="s">
        <v>19</v>
      </c>
      <c r="D47" s="180">
        <f t="shared" si="3"/>
        <v>0</v>
      </c>
      <c r="E47" s="180"/>
      <c r="G47" s="35"/>
      <c r="H47" s="18" t="s">
        <v>226</v>
      </c>
      <c r="I47" s="18" t="s">
        <v>19</v>
      </c>
      <c r="J47" s="180">
        <v>0</v>
      </c>
      <c r="K47" s="180"/>
      <c r="M47" s="35"/>
      <c r="N47" s="18" t="s">
        <v>226</v>
      </c>
      <c r="O47" s="18" t="s">
        <v>19</v>
      </c>
      <c r="P47" s="180">
        <v>0</v>
      </c>
      <c r="Q47" s="180"/>
      <c r="S47" s="35"/>
      <c r="T47" s="18" t="s">
        <v>226</v>
      </c>
      <c r="U47" s="18" t="s">
        <v>19</v>
      </c>
      <c r="V47" s="180">
        <v>0</v>
      </c>
      <c r="W47" s="180"/>
      <c r="Y47" s="35"/>
      <c r="Z47" s="18" t="s">
        <v>226</v>
      </c>
      <c r="AA47" s="18" t="s">
        <v>19</v>
      </c>
      <c r="AB47" s="180">
        <v>0</v>
      </c>
      <c r="AC47" s="180"/>
    </row>
    <row r="48" spans="1:29" x14ac:dyDescent="0.25">
      <c r="B48" s="6" t="s">
        <v>35</v>
      </c>
      <c r="C48" s="6" t="s">
        <v>19</v>
      </c>
      <c r="D48" s="178">
        <f t="shared" si="3"/>
        <v>0.68996199999999996</v>
      </c>
      <c r="H48" s="6" t="s">
        <v>35</v>
      </c>
      <c r="I48" s="6" t="s">
        <v>19</v>
      </c>
      <c r="J48" s="178">
        <v>0.645841</v>
      </c>
      <c r="N48" s="6" t="s">
        <v>35</v>
      </c>
      <c r="O48" s="6" t="s">
        <v>19</v>
      </c>
      <c r="P48" s="178">
        <v>0.59256200000000003</v>
      </c>
      <c r="T48" s="6" t="s">
        <v>35</v>
      </c>
      <c r="U48" s="6" t="s">
        <v>19</v>
      </c>
      <c r="V48" s="178">
        <v>0.65056099999999994</v>
      </c>
      <c r="Z48" s="6" t="s">
        <v>35</v>
      </c>
      <c r="AA48" s="6" t="s">
        <v>19</v>
      </c>
      <c r="AB48" s="178">
        <v>0.65034400000000003</v>
      </c>
    </row>
    <row r="49" spans="2:29" x14ac:dyDescent="0.25">
      <c r="B49" s="15" t="s">
        <v>36</v>
      </c>
      <c r="C49" s="15" t="s">
        <v>19</v>
      </c>
      <c r="D49" s="179">
        <f t="shared" si="3"/>
        <v>0.445913</v>
      </c>
      <c r="H49" s="15" t="s">
        <v>36</v>
      </c>
      <c r="I49" s="15" t="s">
        <v>19</v>
      </c>
      <c r="J49" s="179">
        <v>0.44490499999999999</v>
      </c>
      <c r="N49" s="15" t="s">
        <v>36</v>
      </c>
      <c r="O49" s="15" t="s">
        <v>19</v>
      </c>
      <c r="P49" s="179">
        <v>0.45332899999999998</v>
      </c>
      <c r="T49" s="15" t="s">
        <v>36</v>
      </c>
      <c r="U49" s="15" t="s">
        <v>19</v>
      </c>
      <c r="V49" s="179">
        <v>0.446766</v>
      </c>
      <c r="Z49" s="15" t="s">
        <v>36</v>
      </c>
      <c r="AA49" s="15" t="s">
        <v>19</v>
      </c>
      <c r="AB49" s="179">
        <v>0.45097900000000002</v>
      </c>
    </row>
    <row r="50" spans="2:29" x14ac:dyDescent="0.25">
      <c r="B50" s="6" t="s">
        <v>37</v>
      </c>
      <c r="C50" s="6" t="s">
        <v>19</v>
      </c>
      <c r="D50" s="178">
        <f t="shared" si="3"/>
        <v>0.359622</v>
      </c>
      <c r="H50" s="6" t="s">
        <v>37</v>
      </c>
      <c r="I50" s="6" t="s">
        <v>19</v>
      </c>
      <c r="J50" s="178">
        <v>0.36097000000000001</v>
      </c>
      <c r="N50" s="6" t="s">
        <v>37</v>
      </c>
      <c r="O50" s="6" t="s">
        <v>19</v>
      </c>
      <c r="P50" s="178">
        <v>0.36546600000000001</v>
      </c>
      <c r="T50" s="6" t="s">
        <v>37</v>
      </c>
      <c r="U50" s="6" t="s">
        <v>19</v>
      </c>
      <c r="V50" s="178">
        <v>0.34619</v>
      </c>
      <c r="Z50" s="6" t="s">
        <v>37</v>
      </c>
      <c r="AA50" s="6" t="s">
        <v>19</v>
      </c>
      <c r="AB50" s="178">
        <v>0.33785599999999999</v>
      </c>
    </row>
    <row r="51" spans="2:29" x14ac:dyDescent="0.25">
      <c r="B51" s="6" t="s">
        <v>38</v>
      </c>
      <c r="C51" s="6" t="s">
        <v>19</v>
      </c>
      <c r="D51" s="178">
        <f t="shared" si="3"/>
        <v>0.51581399999999999</v>
      </c>
      <c r="H51" s="6" t="s">
        <v>38</v>
      </c>
      <c r="I51" s="6" t="s">
        <v>19</v>
      </c>
      <c r="J51" s="178">
        <v>0.49233300000000002</v>
      </c>
      <c r="N51" s="6" t="s">
        <v>38</v>
      </c>
      <c r="O51" s="6" t="s">
        <v>19</v>
      </c>
      <c r="P51" s="178">
        <v>0.47232099999999999</v>
      </c>
      <c r="T51" s="6" t="s">
        <v>38</v>
      </c>
      <c r="U51" s="6" t="s">
        <v>19</v>
      </c>
      <c r="V51" s="178">
        <v>0.52738399999999996</v>
      </c>
      <c r="Z51" s="6" t="s">
        <v>38</v>
      </c>
      <c r="AA51" s="6" t="s">
        <v>19</v>
      </c>
      <c r="AB51" s="178">
        <v>0.52864199999999995</v>
      </c>
    </row>
    <row r="52" spans="2:29" x14ac:dyDescent="0.25">
      <c r="B52" s="6" t="s">
        <v>39</v>
      </c>
      <c r="C52" s="6" t="s">
        <v>19</v>
      </c>
      <c r="D52" s="178">
        <f t="shared" si="3"/>
        <v>0.36604900000000001</v>
      </c>
      <c r="H52" s="6" t="s">
        <v>39</v>
      </c>
      <c r="I52" s="6" t="s">
        <v>19</v>
      </c>
      <c r="J52" s="178">
        <v>0.322936</v>
      </c>
      <c r="N52" s="6" t="s">
        <v>39</v>
      </c>
      <c r="O52" s="6" t="s">
        <v>19</v>
      </c>
      <c r="P52" s="178">
        <v>0.26123299999999999</v>
      </c>
      <c r="T52" s="6" t="s">
        <v>39</v>
      </c>
      <c r="U52" s="6" t="s">
        <v>19</v>
      </c>
      <c r="V52" s="178">
        <v>0.325795</v>
      </c>
      <c r="Z52" s="6" t="s">
        <v>39</v>
      </c>
      <c r="AA52" s="6" t="s">
        <v>19</v>
      </c>
      <c r="AB52" s="178">
        <v>0.32136599999999999</v>
      </c>
    </row>
    <row r="53" spans="2:29" x14ac:dyDescent="0.25">
      <c r="B53" s="15" t="s">
        <v>40</v>
      </c>
      <c r="C53" s="15" t="s">
        <v>19</v>
      </c>
      <c r="D53" s="179">
        <f t="shared" si="3"/>
        <v>0.122</v>
      </c>
      <c r="H53" s="15" t="s">
        <v>40</v>
      </c>
      <c r="I53" s="15" t="s">
        <v>19</v>
      </c>
      <c r="J53" s="179">
        <v>0.122</v>
      </c>
      <c r="N53" s="15" t="s">
        <v>40</v>
      </c>
      <c r="O53" s="15" t="s">
        <v>19</v>
      </c>
      <c r="P53" s="179">
        <v>0.122</v>
      </c>
      <c r="T53" s="15" t="s">
        <v>40</v>
      </c>
      <c r="U53" s="15" t="s">
        <v>19</v>
      </c>
      <c r="V53" s="179">
        <v>0.122</v>
      </c>
      <c r="Z53" s="15" t="s">
        <v>40</v>
      </c>
      <c r="AA53" s="15" t="s">
        <v>19</v>
      </c>
      <c r="AB53" s="179">
        <v>0.122</v>
      </c>
    </row>
    <row r="54" spans="2:29" x14ac:dyDescent="0.25">
      <c r="B54" s="6" t="s">
        <v>41</v>
      </c>
      <c r="C54" s="6" t="s">
        <v>19</v>
      </c>
      <c r="D54" s="178">
        <f t="shared" si="3"/>
        <v>0.10979999999999999</v>
      </c>
      <c r="H54" s="6" t="s">
        <v>41</v>
      </c>
      <c r="I54" s="6" t="s">
        <v>19</v>
      </c>
      <c r="J54" s="178">
        <v>0.10979999999999999</v>
      </c>
      <c r="N54" s="6" t="s">
        <v>41</v>
      </c>
      <c r="O54" s="6" t="s">
        <v>19</v>
      </c>
      <c r="P54" s="178">
        <v>0.10979999999999999</v>
      </c>
      <c r="T54" s="6" t="s">
        <v>41</v>
      </c>
      <c r="U54" s="6" t="s">
        <v>19</v>
      </c>
      <c r="V54" s="178">
        <v>0.10979999999999999</v>
      </c>
      <c r="Z54" s="6" t="s">
        <v>41</v>
      </c>
      <c r="AA54" s="6" t="s">
        <v>19</v>
      </c>
      <c r="AB54" s="178">
        <v>0.10979999999999999</v>
      </c>
    </row>
    <row r="55" spans="2:29" x14ac:dyDescent="0.25">
      <c r="B55" s="6" t="s">
        <v>42</v>
      </c>
      <c r="C55" s="6" t="s">
        <v>19</v>
      </c>
      <c r="D55" s="178">
        <f t="shared" si="3"/>
        <v>0.1159</v>
      </c>
      <c r="H55" s="6" t="s">
        <v>42</v>
      </c>
      <c r="I55" s="6" t="s">
        <v>19</v>
      </c>
      <c r="J55" s="178">
        <v>0.1159</v>
      </c>
      <c r="N55" s="6" t="s">
        <v>42</v>
      </c>
      <c r="O55" s="6" t="s">
        <v>19</v>
      </c>
      <c r="P55" s="178">
        <v>0.1159</v>
      </c>
      <c r="T55" s="6" t="s">
        <v>42</v>
      </c>
      <c r="U55" s="6" t="s">
        <v>19</v>
      </c>
      <c r="V55" s="178">
        <v>0.1159</v>
      </c>
      <c r="Z55" s="6" t="s">
        <v>42</v>
      </c>
      <c r="AA55" s="6" t="s">
        <v>19</v>
      </c>
      <c r="AB55" s="178">
        <v>0.1159</v>
      </c>
    </row>
    <row r="56" spans="2:29" x14ac:dyDescent="0.25">
      <c r="B56" s="15" t="s">
        <v>43</v>
      </c>
      <c r="C56" s="15" t="s">
        <v>44</v>
      </c>
      <c r="D56" s="186">
        <f t="shared" si="3"/>
        <v>750</v>
      </c>
      <c r="E56" s="185"/>
      <c r="H56" s="15" t="s">
        <v>43</v>
      </c>
      <c r="I56" s="15" t="s">
        <v>44</v>
      </c>
      <c r="J56" s="186">
        <v>750</v>
      </c>
      <c r="K56" s="185"/>
      <c r="N56" s="15" t="s">
        <v>43</v>
      </c>
      <c r="O56" s="15" t="s">
        <v>44</v>
      </c>
      <c r="P56" s="186">
        <v>750</v>
      </c>
      <c r="Q56" s="185"/>
      <c r="T56" s="15" t="s">
        <v>43</v>
      </c>
      <c r="U56" s="15" t="s">
        <v>44</v>
      </c>
      <c r="V56" s="186">
        <v>750</v>
      </c>
      <c r="W56" s="185"/>
      <c r="Z56" s="15" t="s">
        <v>43</v>
      </c>
      <c r="AA56" s="15" t="s">
        <v>44</v>
      </c>
      <c r="AB56" s="186">
        <v>750</v>
      </c>
      <c r="AC56" s="185"/>
    </row>
    <row r="57" spans="2:29" x14ac:dyDescent="0.25">
      <c r="B57" s="176" t="s">
        <v>45</v>
      </c>
      <c r="C57" s="176" t="s">
        <v>46</v>
      </c>
      <c r="D57" s="182">
        <f t="shared" si="3"/>
        <v>1.2243580000000001</v>
      </c>
      <c r="H57" s="176" t="s">
        <v>45</v>
      </c>
      <c r="I57" s="176" t="s">
        <v>46</v>
      </c>
      <c r="J57" s="182">
        <v>1.3199209999999999</v>
      </c>
      <c r="N57" s="176" t="s">
        <v>45</v>
      </c>
      <c r="O57" s="176" t="s">
        <v>46</v>
      </c>
      <c r="P57" s="182">
        <v>1.4327259999999999</v>
      </c>
      <c r="T57" s="176" t="s">
        <v>45</v>
      </c>
      <c r="U57" s="176" t="s">
        <v>46</v>
      </c>
      <c r="V57" s="182">
        <v>1.310208</v>
      </c>
      <c r="Z57" s="176" t="s">
        <v>45</v>
      </c>
      <c r="AA57" s="176" t="s">
        <v>46</v>
      </c>
      <c r="AB57" s="182">
        <v>1.2943</v>
      </c>
    </row>
    <row r="58" spans="2:29" x14ac:dyDescent="0.25">
      <c r="B58" s="6" t="s">
        <v>47</v>
      </c>
      <c r="C58" s="6" t="s">
        <v>46</v>
      </c>
      <c r="D58" s="178">
        <f t="shared" si="3"/>
        <v>1.894452</v>
      </c>
      <c r="H58" s="6" t="s">
        <v>47</v>
      </c>
      <c r="I58" s="6" t="s">
        <v>46</v>
      </c>
      <c r="J58" s="178">
        <v>1.9160489999999999</v>
      </c>
      <c r="N58" s="6" t="s">
        <v>47</v>
      </c>
      <c r="O58" s="6" t="s">
        <v>46</v>
      </c>
      <c r="P58" s="178">
        <v>1.8727670000000001</v>
      </c>
      <c r="T58" s="6" t="s">
        <v>47</v>
      </c>
      <c r="U58" s="6" t="s">
        <v>46</v>
      </c>
      <c r="V58" s="178">
        <v>1.9078679999999999</v>
      </c>
      <c r="Z58" s="6" t="s">
        <v>47</v>
      </c>
      <c r="AA58" s="6" t="s">
        <v>46</v>
      </c>
      <c r="AB58" s="178">
        <v>1.8664750000000001</v>
      </c>
    </row>
    <row r="59" spans="2:29" x14ac:dyDescent="0.25">
      <c r="B59" s="6" t="s">
        <v>48</v>
      </c>
      <c r="C59" s="6" t="s">
        <v>46</v>
      </c>
      <c r="D59" s="178">
        <f t="shared" ref="D59:D90" si="4">IFERROR(VLOOKUP(B59,raw_2,3,FALSE),0)</f>
        <v>2.3490229999999999</v>
      </c>
      <c r="H59" s="6" t="s">
        <v>48</v>
      </c>
      <c r="I59" s="6" t="s">
        <v>46</v>
      </c>
      <c r="J59" s="178">
        <v>2.3615789999999999</v>
      </c>
      <c r="N59" s="6" t="s">
        <v>48</v>
      </c>
      <c r="O59" s="6" t="s">
        <v>46</v>
      </c>
      <c r="P59" s="178">
        <v>2.3230029999999999</v>
      </c>
      <c r="T59" s="6" t="s">
        <v>48</v>
      </c>
      <c r="U59" s="6" t="s">
        <v>46</v>
      </c>
      <c r="V59" s="178">
        <v>2.4621460000000002</v>
      </c>
      <c r="Z59" s="6" t="s">
        <v>48</v>
      </c>
      <c r="AA59" s="6" t="s">
        <v>46</v>
      </c>
      <c r="AB59" s="178">
        <v>2.4914209999999999</v>
      </c>
    </row>
    <row r="60" spans="2:29" x14ac:dyDescent="0.25">
      <c r="B60" s="6" t="s">
        <v>181</v>
      </c>
      <c r="C60" s="6" t="s">
        <v>46</v>
      </c>
      <c r="D60" s="178">
        <f t="shared" si="4"/>
        <v>1.6377250000000001</v>
      </c>
      <c r="H60" s="6" t="s">
        <v>181</v>
      </c>
      <c r="I60" s="6" t="s">
        <v>46</v>
      </c>
      <c r="J60" s="178">
        <v>1.7314700000000001</v>
      </c>
      <c r="N60" s="6" t="s">
        <v>181</v>
      </c>
      <c r="O60" s="6" t="s">
        <v>46</v>
      </c>
      <c r="P60" s="178">
        <v>1.797463</v>
      </c>
      <c r="T60" s="6" t="s">
        <v>181</v>
      </c>
      <c r="U60" s="6" t="s">
        <v>46</v>
      </c>
      <c r="V60" s="178">
        <v>1.616225</v>
      </c>
      <c r="Z60" s="6" t="s">
        <v>181</v>
      </c>
      <c r="AA60" s="6" t="s">
        <v>46</v>
      </c>
      <c r="AB60" s="178">
        <v>1.5922700000000001</v>
      </c>
    </row>
    <row r="61" spans="2:29" x14ac:dyDescent="0.25">
      <c r="B61" s="15" t="s">
        <v>49</v>
      </c>
      <c r="C61" s="15" t="s">
        <v>19</v>
      </c>
      <c r="D61" s="179">
        <f t="shared" si="4"/>
        <v>0.23250100000000001</v>
      </c>
      <c r="H61" s="15" t="s">
        <v>49</v>
      </c>
      <c r="I61" s="15" t="s">
        <v>19</v>
      </c>
      <c r="J61" s="179">
        <v>0.23195299999999999</v>
      </c>
      <c r="N61" s="15" t="s">
        <v>49</v>
      </c>
      <c r="O61" s="15" t="s">
        <v>19</v>
      </c>
      <c r="P61" s="179">
        <v>0.231187</v>
      </c>
      <c r="T61" s="15" t="s">
        <v>49</v>
      </c>
      <c r="U61" s="15" t="s">
        <v>19</v>
      </c>
      <c r="V61" s="179">
        <v>0.20938599999999999</v>
      </c>
      <c r="Z61" s="15" t="s">
        <v>49</v>
      </c>
      <c r="AA61" s="15" t="s">
        <v>19</v>
      </c>
      <c r="AB61" s="179">
        <v>0.21724299999999999</v>
      </c>
    </row>
    <row r="62" spans="2:29" x14ac:dyDescent="0.25">
      <c r="B62" s="6" t="s">
        <v>50</v>
      </c>
      <c r="C62" s="6" t="s">
        <v>19</v>
      </c>
      <c r="D62" s="178">
        <f t="shared" si="4"/>
        <v>0.72516700000000001</v>
      </c>
      <c r="H62" s="6" t="s">
        <v>50</v>
      </c>
      <c r="I62" s="6" t="s">
        <v>19</v>
      </c>
      <c r="J62" s="178">
        <v>0.64018399999999998</v>
      </c>
      <c r="N62" s="6" t="s">
        <v>50</v>
      </c>
      <c r="O62" s="6" t="s">
        <v>19</v>
      </c>
      <c r="P62" s="178">
        <v>0.53522800000000004</v>
      </c>
      <c r="T62" s="6" t="s">
        <v>50</v>
      </c>
      <c r="U62" s="6" t="s">
        <v>19</v>
      </c>
      <c r="V62" s="178">
        <v>0.691079</v>
      </c>
      <c r="Z62" s="6" t="s">
        <v>50</v>
      </c>
      <c r="AA62" s="6" t="s">
        <v>19</v>
      </c>
      <c r="AB62" s="178">
        <v>0.664516</v>
      </c>
    </row>
    <row r="63" spans="2:29" x14ac:dyDescent="0.25">
      <c r="B63" s="6" t="s">
        <v>51</v>
      </c>
      <c r="C63" s="6" t="s">
        <v>19</v>
      </c>
      <c r="D63" s="178">
        <f t="shared" si="4"/>
        <v>0.359352</v>
      </c>
      <c r="H63" s="6" t="s">
        <v>51</v>
      </c>
      <c r="I63" s="6" t="s">
        <v>19</v>
      </c>
      <c r="J63" s="178">
        <v>0.38206899999999999</v>
      </c>
      <c r="N63" s="6" t="s">
        <v>51</v>
      </c>
      <c r="O63" s="6" t="s">
        <v>19</v>
      </c>
      <c r="P63" s="178">
        <v>0.40905799999999998</v>
      </c>
      <c r="T63" s="6" t="s">
        <v>51</v>
      </c>
      <c r="U63" s="6" t="s">
        <v>19</v>
      </c>
      <c r="V63" s="178">
        <v>0.33653699999999998</v>
      </c>
      <c r="Z63" s="6" t="s">
        <v>51</v>
      </c>
      <c r="AA63" s="6" t="s">
        <v>19</v>
      </c>
      <c r="AB63" s="178">
        <v>0.36659399999999998</v>
      </c>
    </row>
    <row r="64" spans="2:29" x14ac:dyDescent="0.25">
      <c r="B64" s="6" t="s">
        <v>52</v>
      </c>
      <c r="C64" s="6" t="s">
        <v>19</v>
      </c>
      <c r="D64" s="178">
        <f t="shared" si="4"/>
        <v>0.28985100000000003</v>
      </c>
      <c r="H64" s="6" t="s">
        <v>52</v>
      </c>
      <c r="I64" s="6" t="s">
        <v>19</v>
      </c>
      <c r="J64" s="178">
        <v>0.25571100000000002</v>
      </c>
      <c r="N64" s="6" t="s">
        <v>52</v>
      </c>
      <c r="O64" s="6" t="s">
        <v>19</v>
      </c>
      <c r="P64" s="178">
        <v>0.207371</v>
      </c>
      <c r="T64" s="6" t="s">
        <v>52</v>
      </c>
      <c r="U64" s="6" t="s">
        <v>19</v>
      </c>
      <c r="V64" s="178">
        <v>0.27676200000000001</v>
      </c>
      <c r="Z64" s="6" t="s">
        <v>52</v>
      </c>
      <c r="AA64" s="6" t="s">
        <v>19</v>
      </c>
      <c r="AB64" s="178">
        <v>0.25837700000000002</v>
      </c>
    </row>
    <row r="65" spans="2:28" x14ac:dyDescent="0.25">
      <c r="B65" s="6" t="s">
        <v>53</v>
      </c>
      <c r="C65" s="6" t="s">
        <v>19</v>
      </c>
      <c r="D65" s="178">
        <f t="shared" si="4"/>
        <v>0.24735799999999999</v>
      </c>
      <c r="H65" s="6" t="s">
        <v>53</v>
      </c>
      <c r="I65" s="6" t="s">
        <v>19</v>
      </c>
      <c r="J65" s="178">
        <v>0.25002200000000002</v>
      </c>
      <c r="N65" s="6" t="s">
        <v>53</v>
      </c>
      <c r="O65" s="6" t="s">
        <v>19</v>
      </c>
      <c r="P65" s="178">
        <v>0.25855</v>
      </c>
      <c r="T65" s="6" t="s">
        <v>53</v>
      </c>
      <c r="U65" s="6" t="s">
        <v>19</v>
      </c>
      <c r="V65" s="178">
        <v>0.24459800000000001</v>
      </c>
      <c r="Z65" s="6" t="s">
        <v>53</v>
      </c>
      <c r="AA65" s="6" t="s">
        <v>19</v>
      </c>
      <c r="AB65" s="178">
        <v>0.19639599999999999</v>
      </c>
    </row>
    <row r="66" spans="2:28" x14ac:dyDescent="0.25">
      <c r="B66" s="15" t="s">
        <v>182</v>
      </c>
      <c r="C66" s="15" t="s">
        <v>19</v>
      </c>
      <c r="D66" s="179">
        <f t="shared" si="4"/>
        <v>0.58860900000000005</v>
      </c>
      <c r="H66" s="15" t="s">
        <v>182</v>
      </c>
      <c r="I66" s="15" t="s">
        <v>19</v>
      </c>
      <c r="J66" s="179">
        <v>0.58722300000000005</v>
      </c>
      <c r="N66" s="15" t="s">
        <v>182</v>
      </c>
      <c r="O66" s="15" t="s">
        <v>19</v>
      </c>
      <c r="P66" s="179">
        <v>0.58528199999999997</v>
      </c>
      <c r="T66" s="15" t="s">
        <v>182</v>
      </c>
      <c r="U66" s="15" t="s">
        <v>19</v>
      </c>
      <c r="V66" s="179">
        <v>0.53009200000000001</v>
      </c>
      <c r="Z66" s="15" t="s">
        <v>182</v>
      </c>
      <c r="AA66" s="15" t="s">
        <v>19</v>
      </c>
      <c r="AB66" s="179">
        <v>0.549983</v>
      </c>
    </row>
    <row r="67" spans="2:28" x14ac:dyDescent="0.25">
      <c r="B67" s="6" t="s">
        <v>183</v>
      </c>
      <c r="C67" s="6" t="s">
        <v>184</v>
      </c>
      <c r="D67" s="178">
        <f t="shared" si="4"/>
        <v>45.457734000000002</v>
      </c>
      <c r="H67" s="6" t="s">
        <v>183</v>
      </c>
      <c r="I67" s="6" t="s">
        <v>184</v>
      </c>
      <c r="J67" s="178">
        <v>16.280125000000002</v>
      </c>
      <c r="N67" s="6" t="s">
        <v>183</v>
      </c>
      <c r="O67" s="6" t="s">
        <v>184</v>
      </c>
      <c r="P67" s="178">
        <v>-22.957972999999999</v>
      </c>
      <c r="T67" s="6" t="s">
        <v>183</v>
      </c>
      <c r="U67" s="6" t="s">
        <v>184</v>
      </c>
      <c r="V67" s="178">
        <v>36.702550000000002</v>
      </c>
      <c r="Z67" s="6" t="s">
        <v>183</v>
      </c>
      <c r="AA67" s="6" t="s">
        <v>184</v>
      </c>
      <c r="AB67" s="178">
        <v>56.752479999999998</v>
      </c>
    </row>
    <row r="68" spans="2:28" x14ac:dyDescent="0.25">
      <c r="B68" s="6" t="s">
        <v>54</v>
      </c>
      <c r="C68" s="6" t="s">
        <v>19</v>
      </c>
      <c r="D68" s="178">
        <f t="shared" si="4"/>
        <v>0.69158799999999998</v>
      </c>
      <c r="H68" s="6" t="s">
        <v>54</v>
      </c>
      <c r="I68" s="6" t="s">
        <v>19</v>
      </c>
      <c r="J68" s="178">
        <v>0.68836900000000001</v>
      </c>
      <c r="N68" s="6" t="s">
        <v>54</v>
      </c>
      <c r="O68" s="6" t="s">
        <v>19</v>
      </c>
      <c r="P68" s="178">
        <v>0.68026600000000004</v>
      </c>
      <c r="T68" s="6" t="s">
        <v>54</v>
      </c>
      <c r="U68" s="6" t="s">
        <v>19</v>
      </c>
      <c r="V68" s="178">
        <v>0.66339499999999996</v>
      </c>
      <c r="Z68" s="6" t="s">
        <v>54</v>
      </c>
      <c r="AA68" s="6" t="s">
        <v>19</v>
      </c>
      <c r="AB68" s="178">
        <v>0.63877600000000001</v>
      </c>
    </row>
    <row r="69" spans="2:28" x14ac:dyDescent="0.25">
      <c r="B69" s="15" t="s">
        <v>55</v>
      </c>
      <c r="C69" s="15" t="s">
        <v>19</v>
      </c>
      <c r="D69" s="179">
        <f t="shared" si="4"/>
        <v>0.55003100000000005</v>
      </c>
      <c r="H69" s="15" t="s">
        <v>55</v>
      </c>
      <c r="I69" s="15" t="s">
        <v>19</v>
      </c>
      <c r="J69" s="179">
        <v>0.55008800000000002</v>
      </c>
      <c r="N69" s="15" t="s">
        <v>55</v>
      </c>
      <c r="O69" s="15" t="s">
        <v>19</v>
      </c>
      <c r="P69" s="179">
        <v>0.55003299999999999</v>
      </c>
      <c r="T69" s="15" t="s">
        <v>55</v>
      </c>
      <c r="U69" s="15" t="s">
        <v>19</v>
      </c>
      <c r="V69" s="179">
        <v>0.55012700000000003</v>
      </c>
      <c r="Z69" s="15" t="s">
        <v>55</v>
      </c>
      <c r="AA69" s="15" t="s">
        <v>19</v>
      </c>
      <c r="AB69" s="179">
        <v>0.55009600000000003</v>
      </c>
    </row>
    <row r="70" spans="2:28" x14ac:dyDescent="0.25">
      <c r="B70" s="15" t="s">
        <v>56</v>
      </c>
      <c r="C70" s="15" t="s">
        <v>46</v>
      </c>
      <c r="D70" s="179">
        <f t="shared" si="4"/>
        <v>0.380079</v>
      </c>
      <c r="H70" s="15" t="s">
        <v>56</v>
      </c>
      <c r="I70" s="15" t="s">
        <v>46</v>
      </c>
      <c r="J70" s="179">
        <v>0.36591899999999999</v>
      </c>
      <c r="N70" s="15" t="s">
        <v>56</v>
      </c>
      <c r="O70" s="15" t="s">
        <v>46</v>
      </c>
      <c r="P70" s="179">
        <v>0.35664600000000002</v>
      </c>
      <c r="T70" s="15" t="s">
        <v>56</v>
      </c>
      <c r="U70" s="15" t="s">
        <v>46</v>
      </c>
      <c r="V70" s="179">
        <v>0.37658599999999998</v>
      </c>
      <c r="Z70" s="15" t="s">
        <v>56</v>
      </c>
      <c r="AA70" s="15" t="s">
        <v>46</v>
      </c>
      <c r="AB70" s="179">
        <v>0.35026200000000002</v>
      </c>
    </row>
    <row r="71" spans="2:28" x14ac:dyDescent="0.25">
      <c r="B71" s="6" t="s">
        <v>57</v>
      </c>
      <c r="C71" s="6" t="s">
        <v>46</v>
      </c>
      <c r="D71" s="178">
        <f t="shared" si="4"/>
        <v>0.38896199999999997</v>
      </c>
      <c r="H71" s="6" t="s">
        <v>57</v>
      </c>
      <c r="I71" s="6" t="s">
        <v>46</v>
      </c>
      <c r="J71" s="178">
        <v>0.38731900000000002</v>
      </c>
      <c r="N71" s="6" t="s">
        <v>57</v>
      </c>
      <c r="O71" s="6" t="s">
        <v>46</v>
      </c>
      <c r="P71" s="178">
        <v>0.40725800000000001</v>
      </c>
      <c r="T71" s="6" t="s">
        <v>57</v>
      </c>
      <c r="U71" s="6" t="s">
        <v>46</v>
      </c>
      <c r="V71" s="178">
        <v>0.450741</v>
      </c>
      <c r="Z71" s="6" t="s">
        <v>57</v>
      </c>
      <c r="AA71" s="6" t="s">
        <v>46</v>
      </c>
      <c r="AB71" s="178">
        <v>0.42939899999999998</v>
      </c>
    </row>
    <row r="72" spans="2:28" x14ac:dyDescent="0.25">
      <c r="B72" s="15" t="s">
        <v>58</v>
      </c>
      <c r="C72" s="15" t="s">
        <v>46</v>
      </c>
      <c r="D72" s="179">
        <f t="shared" si="4"/>
        <v>0.76904099999999997</v>
      </c>
      <c r="H72" s="15" t="s">
        <v>58</v>
      </c>
      <c r="I72" s="15" t="s">
        <v>46</v>
      </c>
      <c r="J72" s="179">
        <v>0.75323799999999996</v>
      </c>
      <c r="N72" s="15" t="s">
        <v>58</v>
      </c>
      <c r="O72" s="15" t="s">
        <v>46</v>
      </c>
      <c r="P72" s="179">
        <v>0.76390400000000003</v>
      </c>
      <c r="T72" s="15" t="s">
        <v>58</v>
      </c>
      <c r="U72" s="15" t="s">
        <v>46</v>
      </c>
      <c r="V72" s="179">
        <v>0.82732700000000003</v>
      </c>
      <c r="Z72" s="15" t="s">
        <v>58</v>
      </c>
      <c r="AA72" s="15" t="s">
        <v>46</v>
      </c>
      <c r="AB72" s="179">
        <v>0.77966100000000005</v>
      </c>
    </row>
    <row r="73" spans="2:28" x14ac:dyDescent="0.25">
      <c r="B73" s="15" t="s">
        <v>59</v>
      </c>
      <c r="C73" s="15" t="s">
        <v>46</v>
      </c>
      <c r="D73" s="179">
        <f t="shared" si="4"/>
        <v>0.76205699999999998</v>
      </c>
      <c r="H73" s="15" t="s">
        <v>59</v>
      </c>
      <c r="I73" s="15" t="s">
        <v>46</v>
      </c>
      <c r="J73" s="179">
        <v>0.76078500000000004</v>
      </c>
      <c r="N73" s="15" t="s">
        <v>59</v>
      </c>
      <c r="O73" s="15" t="s">
        <v>46</v>
      </c>
      <c r="P73" s="179">
        <v>0.75835200000000003</v>
      </c>
      <c r="T73" s="15" t="s">
        <v>59</v>
      </c>
      <c r="U73" s="15" t="s">
        <v>46</v>
      </c>
      <c r="V73" s="179">
        <v>0.75827299999999997</v>
      </c>
      <c r="Z73" s="15" t="s">
        <v>59</v>
      </c>
      <c r="AA73" s="15" t="s">
        <v>46</v>
      </c>
      <c r="AB73" s="179">
        <v>0.76428399999999996</v>
      </c>
    </row>
    <row r="74" spans="2:28" x14ac:dyDescent="0.25">
      <c r="B74" s="15" t="s">
        <v>60</v>
      </c>
      <c r="C74" s="15" t="s">
        <v>46</v>
      </c>
      <c r="D74" s="179">
        <f t="shared" si="4"/>
        <v>0.20764199999999999</v>
      </c>
      <c r="H74" s="15" t="s">
        <v>60</v>
      </c>
      <c r="I74" s="15" t="s">
        <v>46</v>
      </c>
      <c r="J74" s="179">
        <v>0.20693600000000001</v>
      </c>
      <c r="N74" s="15" t="s">
        <v>60</v>
      </c>
      <c r="O74" s="15" t="s">
        <v>46</v>
      </c>
      <c r="P74" s="179">
        <v>0.21796699999999999</v>
      </c>
      <c r="T74" s="15" t="s">
        <v>60</v>
      </c>
      <c r="U74" s="15" t="s">
        <v>46</v>
      </c>
      <c r="V74" s="179">
        <v>0.249916</v>
      </c>
      <c r="Z74" s="15" t="s">
        <v>60</v>
      </c>
      <c r="AA74" s="15" t="s">
        <v>46</v>
      </c>
      <c r="AB74" s="179">
        <v>0.24891199999999999</v>
      </c>
    </row>
    <row r="75" spans="2:28" x14ac:dyDescent="0.25">
      <c r="B75" s="15" t="s">
        <v>61</v>
      </c>
      <c r="C75" s="15" t="s">
        <v>46</v>
      </c>
      <c r="D75" s="179">
        <f t="shared" si="4"/>
        <v>0.69120800000000004</v>
      </c>
      <c r="H75" s="15" t="s">
        <v>61</v>
      </c>
      <c r="I75" s="15" t="s">
        <v>46</v>
      </c>
      <c r="J75" s="179">
        <v>0.68410899999999997</v>
      </c>
      <c r="N75" s="15" t="s">
        <v>61</v>
      </c>
      <c r="O75" s="15" t="s">
        <v>46</v>
      </c>
      <c r="P75" s="179">
        <v>0.70327899999999999</v>
      </c>
      <c r="T75" s="15" t="s">
        <v>61</v>
      </c>
      <c r="U75" s="15" t="s">
        <v>46</v>
      </c>
      <c r="V75" s="179">
        <v>0.75475499999999995</v>
      </c>
      <c r="Z75" s="15" t="s">
        <v>61</v>
      </c>
      <c r="AA75" s="15" t="s">
        <v>46</v>
      </c>
      <c r="AB75" s="179">
        <v>0.69631600000000005</v>
      </c>
    </row>
    <row r="76" spans="2:28" x14ac:dyDescent="0.25">
      <c r="B76" s="15" t="s">
        <v>62</v>
      </c>
      <c r="C76" s="15" t="s">
        <v>46</v>
      </c>
      <c r="D76" s="179">
        <f t="shared" si="4"/>
        <v>0.96379400000000004</v>
      </c>
      <c r="H76" s="15" t="s">
        <v>62</v>
      </c>
      <c r="I76" s="15" t="s">
        <v>46</v>
      </c>
      <c r="J76" s="179">
        <v>0.94189999999999996</v>
      </c>
      <c r="N76" s="15" t="s">
        <v>62</v>
      </c>
      <c r="O76" s="15" t="s">
        <v>46</v>
      </c>
      <c r="P76" s="179">
        <v>0.93597300000000005</v>
      </c>
      <c r="T76" s="15" t="s">
        <v>62</v>
      </c>
      <c r="U76" s="15" t="s">
        <v>46</v>
      </c>
      <c r="V76" s="179">
        <v>1.0000560000000001</v>
      </c>
      <c r="Z76" s="15" t="s">
        <v>62</v>
      </c>
      <c r="AA76" s="15" t="s">
        <v>46</v>
      </c>
      <c r="AB76" s="179">
        <v>0.91109399999999996</v>
      </c>
    </row>
    <row r="77" spans="2:28" x14ac:dyDescent="0.25">
      <c r="B77" s="6" t="s">
        <v>63</v>
      </c>
      <c r="C77" s="6" t="s">
        <v>46</v>
      </c>
      <c r="D77" s="178">
        <f t="shared" si="4"/>
        <v>1.8862909999999999</v>
      </c>
      <c r="H77" s="6" t="s">
        <v>63</v>
      </c>
      <c r="I77" s="6" t="s">
        <v>46</v>
      </c>
      <c r="J77" s="178">
        <v>1.7462249999999999</v>
      </c>
      <c r="N77" s="6" t="s">
        <v>63</v>
      </c>
      <c r="O77" s="6" t="s">
        <v>46</v>
      </c>
      <c r="P77" s="178">
        <v>1.5709979999999999</v>
      </c>
      <c r="T77" s="6" t="s">
        <v>63</v>
      </c>
      <c r="U77" s="6" t="s">
        <v>46</v>
      </c>
      <c r="V77" s="178">
        <v>1.6833480000000001</v>
      </c>
      <c r="Z77" s="6" t="s">
        <v>63</v>
      </c>
      <c r="AA77" s="6" t="s">
        <v>46</v>
      </c>
      <c r="AB77" s="178">
        <v>1.355391</v>
      </c>
    </row>
    <row r="78" spans="2:28" x14ac:dyDescent="0.25">
      <c r="B78" s="6" t="s">
        <v>64</v>
      </c>
      <c r="C78" s="6" t="s">
        <v>46</v>
      </c>
      <c r="D78" s="178">
        <f t="shared" si="4"/>
        <v>1.25183</v>
      </c>
      <c r="H78" s="6" t="s">
        <v>64</v>
      </c>
      <c r="I78" s="6" t="s">
        <v>46</v>
      </c>
      <c r="J78" s="178">
        <v>1.1493450000000001</v>
      </c>
      <c r="N78" s="6" t="s">
        <v>64</v>
      </c>
      <c r="O78" s="6" t="s">
        <v>46</v>
      </c>
      <c r="P78" s="178">
        <v>1.041982</v>
      </c>
      <c r="T78" s="6" t="s">
        <v>64</v>
      </c>
      <c r="U78" s="6" t="s">
        <v>46</v>
      </c>
      <c r="V78" s="178">
        <v>1.257647</v>
      </c>
      <c r="Z78" s="6" t="s">
        <v>64</v>
      </c>
      <c r="AA78" s="6" t="s">
        <v>46</v>
      </c>
      <c r="AB78" s="178">
        <v>1.244553</v>
      </c>
    </row>
    <row r="79" spans="2:28" x14ac:dyDescent="0.25">
      <c r="B79" s="6" t="s">
        <v>65</v>
      </c>
      <c r="C79" s="6" t="s">
        <v>46</v>
      </c>
      <c r="D79" s="178">
        <f t="shared" si="4"/>
        <v>0.56653200000000004</v>
      </c>
      <c r="H79" s="6" t="s">
        <v>65</v>
      </c>
      <c r="I79" s="6" t="s">
        <v>46</v>
      </c>
      <c r="J79" s="178">
        <v>0.52038700000000004</v>
      </c>
      <c r="N79" s="6" t="s">
        <v>65</v>
      </c>
      <c r="O79" s="6" t="s">
        <v>46</v>
      </c>
      <c r="P79" s="178">
        <v>0.47189399999999998</v>
      </c>
      <c r="T79" s="6" t="s">
        <v>65</v>
      </c>
      <c r="U79" s="6" t="s">
        <v>46</v>
      </c>
      <c r="V79" s="178">
        <v>0.54870200000000002</v>
      </c>
      <c r="Z79" s="6" t="s">
        <v>65</v>
      </c>
      <c r="AA79" s="6" t="s">
        <v>46</v>
      </c>
      <c r="AB79" s="178">
        <v>0.50300900000000004</v>
      </c>
    </row>
    <row r="80" spans="2:28" x14ac:dyDescent="0.25">
      <c r="B80" s="6" t="s">
        <v>66</v>
      </c>
      <c r="C80" s="6" t="s">
        <v>46</v>
      </c>
      <c r="D80" s="178">
        <f t="shared" si="4"/>
        <v>0.93074299999999999</v>
      </c>
      <c r="H80" s="6" t="s">
        <v>66</v>
      </c>
      <c r="I80" s="6" t="s">
        <v>46</v>
      </c>
      <c r="J80" s="178">
        <v>0.93279699999999999</v>
      </c>
      <c r="N80" s="6" t="s">
        <v>66</v>
      </c>
      <c r="O80" s="6" t="s">
        <v>46</v>
      </c>
      <c r="P80" s="178">
        <v>0.96756200000000003</v>
      </c>
      <c r="T80" s="6" t="s">
        <v>66</v>
      </c>
      <c r="U80" s="6" t="s">
        <v>46</v>
      </c>
      <c r="V80" s="178">
        <v>1.027406</v>
      </c>
      <c r="Z80" s="6" t="s">
        <v>66</v>
      </c>
      <c r="AA80" s="6" t="s">
        <v>46</v>
      </c>
      <c r="AB80" s="178">
        <v>0.93404900000000002</v>
      </c>
    </row>
    <row r="81" spans="2:28" x14ac:dyDescent="0.25">
      <c r="B81" s="6" t="s">
        <v>67</v>
      </c>
      <c r="C81" s="6" t="s">
        <v>46</v>
      </c>
      <c r="D81" s="178">
        <f t="shared" si="4"/>
        <v>0.611313</v>
      </c>
      <c r="H81" s="6" t="s">
        <v>67</v>
      </c>
      <c r="I81" s="6" t="s">
        <v>46</v>
      </c>
      <c r="J81" s="178">
        <v>0.59548999999999996</v>
      </c>
      <c r="N81" s="6" t="s">
        <v>67</v>
      </c>
      <c r="O81" s="6" t="s">
        <v>46</v>
      </c>
      <c r="P81" s="178">
        <v>0.60378900000000002</v>
      </c>
      <c r="T81" s="6" t="s">
        <v>67</v>
      </c>
      <c r="U81" s="6" t="s">
        <v>46</v>
      </c>
      <c r="V81" s="178">
        <v>0.674763</v>
      </c>
      <c r="Z81" s="6" t="s">
        <v>67</v>
      </c>
      <c r="AA81" s="6" t="s">
        <v>46</v>
      </c>
      <c r="AB81" s="178">
        <v>0.575125</v>
      </c>
    </row>
    <row r="82" spans="2:28" x14ac:dyDescent="0.25">
      <c r="B82" s="6" t="s">
        <v>68</v>
      </c>
      <c r="C82" s="6" t="s">
        <v>46</v>
      </c>
      <c r="D82" s="178">
        <f t="shared" si="4"/>
        <v>1.5420560000000001</v>
      </c>
      <c r="H82" s="6" t="s">
        <v>68</v>
      </c>
      <c r="I82" s="6" t="s">
        <v>46</v>
      </c>
      <c r="J82" s="178">
        <v>1.528287</v>
      </c>
      <c r="N82" s="6" t="s">
        <v>68</v>
      </c>
      <c r="O82" s="6" t="s">
        <v>46</v>
      </c>
      <c r="P82" s="178">
        <v>1.57135</v>
      </c>
      <c r="T82" s="6" t="s">
        <v>68</v>
      </c>
      <c r="U82" s="6" t="s">
        <v>46</v>
      </c>
      <c r="V82" s="178">
        <v>1.702169</v>
      </c>
      <c r="Z82" s="6" t="s">
        <v>68</v>
      </c>
      <c r="AA82" s="6" t="s">
        <v>46</v>
      </c>
      <c r="AB82" s="178">
        <v>1.5091749999999999</v>
      </c>
    </row>
    <row r="83" spans="2:28" x14ac:dyDescent="0.25">
      <c r="B83" s="6" t="s">
        <v>69</v>
      </c>
      <c r="C83" s="6" t="s">
        <v>70</v>
      </c>
      <c r="D83" s="178">
        <f t="shared" si="4"/>
        <v>5.5003070000000003</v>
      </c>
      <c r="H83" s="6" t="s">
        <v>69</v>
      </c>
      <c r="I83" s="6" t="s">
        <v>70</v>
      </c>
      <c r="J83" s="178">
        <v>5.500883</v>
      </c>
      <c r="N83" s="6" t="s">
        <v>69</v>
      </c>
      <c r="O83" s="6" t="s">
        <v>70</v>
      </c>
      <c r="P83" s="178">
        <v>5.5003310000000001</v>
      </c>
      <c r="T83" s="6" t="s">
        <v>69</v>
      </c>
      <c r="U83" s="6" t="s">
        <v>70</v>
      </c>
      <c r="V83" s="178">
        <v>5.5012660000000002</v>
      </c>
      <c r="Z83" s="6" t="s">
        <v>69</v>
      </c>
      <c r="AA83" s="6" t="s">
        <v>70</v>
      </c>
      <c r="AB83" s="178">
        <v>5.5009620000000004</v>
      </c>
    </row>
    <row r="84" spans="2:28" x14ac:dyDescent="0.25">
      <c r="B84" s="6" t="s">
        <v>71</v>
      </c>
      <c r="C84" s="6" t="s">
        <v>72</v>
      </c>
      <c r="D84" s="178">
        <f t="shared" si="4"/>
        <v>2.5201539999999998</v>
      </c>
      <c r="H84" s="6" t="s">
        <v>71</v>
      </c>
      <c r="I84" s="6" t="s">
        <v>72</v>
      </c>
      <c r="J84" s="178">
        <v>2.5112009999999998</v>
      </c>
      <c r="N84" s="6" t="s">
        <v>71</v>
      </c>
      <c r="O84" s="6" t="s">
        <v>72</v>
      </c>
      <c r="P84" s="178">
        <v>2.4801880000000001</v>
      </c>
      <c r="T84" s="6" t="s">
        <v>71</v>
      </c>
      <c r="U84" s="6" t="s">
        <v>72</v>
      </c>
      <c r="V84" s="178">
        <v>2.4930560000000002</v>
      </c>
      <c r="Z84" s="6" t="s">
        <v>71</v>
      </c>
      <c r="AA84" s="6" t="s">
        <v>72</v>
      </c>
      <c r="AB84" s="178">
        <v>2.484918</v>
      </c>
    </row>
    <row r="85" spans="2:28" x14ac:dyDescent="0.25">
      <c r="B85" s="15" t="s">
        <v>73</v>
      </c>
      <c r="C85" s="15" t="s">
        <v>72</v>
      </c>
      <c r="D85" s="179">
        <f t="shared" si="4"/>
        <v>2.4137520000000001</v>
      </c>
      <c r="H85" s="15" t="s">
        <v>73</v>
      </c>
      <c r="I85" s="15" t="s">
        <v>72</v>
      </c>
      <c r="J85" s="179">
        <v>2.4235060000000002</v>
      </c>
      <c r="N85" s="15" t="s">
        <v>73</v>
      </c>
      <c r="O85" s="15" t="s">
        <v>72</v>
      </c>
      <c r="P85" s="179">
        <v>2.4234170000000002</v>
      </c>
      <c r="T85" s="15" t="s">
        <v>73</v>
      </c>
      <c r="U85" s="15" t="s">
        <v>72</v>
      </c>
      <c r="V85" s="179">
        <v>2.4230499999999999</v>
      </c>
      <c r="Z85" s="15" t="s">
        <v>73</v>
      </c>
      <c r="AA85" s="15" t="s">
        <v>72</v>
      </c>
      <c r="AB85" s="179">
        <v>2.4229759999999998</v>
      </c>
    </row>
    <row r="86" spans="2:28" x14ac:dyDescent="0.25">
      <c r="B86" s="6" t="s">
        <v>74</v>
      </c>
      <c r="C86" s="6" t="s">
        <v>19</v>
      </c>
      <c r="D86" s="178">
        <f t="shared" si="4"/>
        <v>0.20905499999999999</v>
      </c>
      <c r="H86" s="6" t="s">
        <v>74</v>
      </c>
      <c r="I86" s="6" t="s">
        <v>19</v>
      </c>
      <c r="J86" s="178">
        <v>0.20128799999999999</v>
      </c>
      <c r="N86" s="6" t="s">
        <v>74</v>
      </c>
      <c r="O86" s="6" t="s">
        <v>19</v>
      </c>
      <c r="P86" s="178">
        <v>0.19616700000000001</v>
      </c>
      <c r="T86" s="6" t="s">
        <v>74</v>
      </c>
      <c r="U86" s="6" t="s">
        <v>19</v>
      </c>
      <c r="V86" s="178">
        <v>0.20716999999999999</v>
      </c>
      <c r="Z86" s="6" t="s">
        <v>74</v>
      </c>
      <c r="AA86" s="6" t="s">
        <v>19</v>
      </c>
      <c r="AB86" s="178">
        <v>0.19267799999999999</v>
      </c>
    </row>
    <row r="87" spans="2:28" x14ac:dyDescent="0.25">
      <c r="B87" s="6" t="s">
        <v>75</v>
      </c>
      <c r="C87" s="6" t="s">
        <v>19</v>
      </c>
      <c r="D87" s="178">
        <f t="shared" si="4"/>
        <v>0.21394099999999999</v>
      </c>
      <c r="H87" s="6" t="s">
        <v>75</v>
      </c>
      <c r="I87" s="6" t="s">
        <v>19</v>
      </c>
      <c r="J87" s="178">
        <v>0.21306</v>
      </c>
      <c r="N87" s="6" t="s">
        <v>75</v>
      </c>
      <c r="O87" s="6" t="s">
        <v>19</v>
      </c>
      <c r="P87" s="178">
        <v>0.22400500000000001</v>
      </c>
      <c r="T87" s="6" t="s">
        <v>75</v>
      </c>
      <c r="U87" s="6" t="s">
        <v>19</v>
      </c>
      <c r="V87" s="178">
        <v>0.24796499999999999</v>
      </c>
      <c r="Z87" s="6" t="s">
        <v>75</v>
      </c>
      <c r="AA87" s="6" t="s">
        <v>19</v>
      </c>
      <c r="AB87" s="178">
        <v>0.236211</v>
      </c>
    </row>
    <row r="88" spans="2:28" x14ac:dyDescent="0.25">
      <c r="B88" s="6" t="s">
        <v>76</v>
      </c>
      <c r="C88" s="6" t="s">
        <v>19</v>
      </c>
      <c r="D88" s="178">
        <f t="shared" si="4"/>
        <v>0.42299599999999998</v>
      </c>
      <c r="H88" s="6" t="s">
        <v>76</v>
      </c>
      <c r="I88" s="6" t="s">
        <v>19</v>
      </c>
      <c r="J88" s="178">
        <v>0.41434799999999999</v>
      </c>
      <c r="N88" s="6" t="s">
        <v>76</v>
      </c>
      <c r="O88" s="6" t="s">
        <v>19</v>
      </c>
      <c r="P88" s="178">
        <v>0.42017300000000002</v>
      </c>
      <c r="T88" s="6" t="s">
        <v>76</v>
      </c>
      <c r="U88" s="6" t="s">
        <v>19</v>
      </c>
      <c r="V88" s="178">
        <v>0.45513500000000001</v>
      </c>
      <c r="Z88" s="6" t="s">
        <v>76</v>
      </c>
      <c r="AA88" s="6" t="s">
        <v>19</v>
      </c>
      <c r="AB88" s="178">
        <v>0.42888900000000002</v>
      </c>
    </row>
    <row r="89" spans="2:28" x14ac:dyDescent="0.25">
      <c r="B89" s="6" t="s">
        <v>77</v>
      </c>
      <c r="C89" s="6" t="s">
        <v>19</v>
      </c>
      <c r="D89" s="178">
        <f t="shared" si="4"/>
        <v>0.419155</v>
      </c>
      <c r="H89" s="6" t="s">
        <v>77</v>
      </c>
      <c r="I89" s="6" t="s">
        <v>19</v>
      </c>
      <c r="J89" s="178">
        <v>0.41849900000000001</v>
      </c>
      <c r="N89" s="6" t="s">
        <v>77</v>
      </c>
      <c r="O89" s="6" t="s">
        <v>19</v>
      </c>
      <c r="P89" s="178">
        <v>0.41711900000000002</v>
      </c>
      <c r="T89" s="6" t="s">
        <v>77</v>
      </c>
      <c r="U89" s="6" t="s">
        <v>19</v>
      </c>
      <c r="V89" s="178">
        <v>0.41714600000000002</v>
      </c>
      <c r="Z89" s="6" t="s">
        <v>77</v>
      </c>
      <c r="AA89" s="6" t="s">
        <v>19</v>
      </c>
      <c r="AB89" s="178">
        <v>0.42043000000000003</v>
      </c>
    </row>
    <row r="90" spans="2:28" x14ac:dyDescent="0.25">
      <c r="B90" s="6" t="s">
        <v>78</v>
      </c>
      <c r="C90" s="6" t="s">
        <v>19</v>
      </c>
      <c r="D90" s="178">
        <f t="shared" si="4"/>
        <v>0.11421000000000001</v>
      </c>
      <c r="H90" s="6" t="s">
        <v>78</v>
      </c>
      <c r="I90" s="6" t="s">
        <v>19</v>
      </c>
      <c r="J90" s="178">
        <v>0.113833</v>
      </c>
      <c r="N90" s="6" t="s">
        <v>78</v>
      </c>
      <c r="O90" s="6" t="s">
        <v>19</v>
      </c>
      <c r="P90" s="178">
        <v>0.119889</v>
      </c>
      <c r="T90" s="6" t="s">
        <v>78</v>
      </c>
      <c r="U90" s="6" t="s">
        <v>19</v>
      </c>
      <c r="V90" s="178">
        <v>0.137485</v>
      </c>
      <c r="Z90" s="6" t="s">
        <v>78</v>
      </c>
      <c r="AA90" s="6" t="s">
        <v>19</v>
      </c>
      <c r="AB90" s="178">
        <v>0.13692599999999999</v>
      </c>
    </row>
    <row r="91" spans="2:28" x14ac:dyDescent="0.25">
      <c r="B91" s="6" t="s">
        <v>79</v>
      </c>
      <c r="C91" s="6" t="s">
        <v>19</v>
      </c>
      <c r="D91" s="178">
        <f t="shared" ref="D91:D122" si="5">IFERROR(VLOOKUP(B91,raw_2,3,FALSE),0)</f>
        <v>0.380185</v>
      </c>
      <c r="H91" s="6" t="s">
        <v>79</v>
      </c>
      <c r="I91" s="6" t="s">
        <v>19</v>
      </c>
      <c r="J91" s="178">
        <v>0.37631999999999999</v>
      </c>
      <c r="N91" s="6" t="s">
        <v>79</v>
      </c>
      <c r="O91" s="6" t="s">
        <v>19</v>
      </c>
      <c r="P91" s="178">
        <v>0.38682699999999998</v>
      </c>
      <c r="T91" s="6" t="s">
        <v>79</v>
      </c>
      <c r="U91" s="6" t="s">
        <v>19</v>
      </c>
      <c r="V91" s="178">
        <v>0.415211</v>
      </c>
      <c r="Z91" s="6" t="s">
        <v>79</v>
      </c>
      <c r="AA91" s="6" t="s">
        <v>19</v>
      </c>
      <c r="AB91" s="178">
        <v>0.38304100000000002</v>
      </c>
    </row>
    <row r="92" spans="2:28" x14ac:dyDescent="0.25">
      <c r="B92" s="6" t="s">
        <v>80</v>
      </c>
      <c r="C92" s="6" t="s">
        <v>19</v>
      </c>
      <c r="D92" s="178">
        <f t="shared" si="5"/>
        <v>0.53011600000000003</v>
      </c>
      <c r="H92" s="6" t="s">
        <v>80</v>
      </c>
      <c r="I92" s="6" t="s">
        <v>19</v>
      </c>
      <c r="J92" s="178">
        <v>0.51812800000000003</v>
      </c>
      <c r="N92" s="6" t="s">
        <v>80</v>
      </c>
      <c r="O92" s="6" t="s">
        <v>19</v>
      </c>
      <c r="P92" s="178">
        <v>0.51481600000000005</v>
      </c>
      <c r="T92" s="6" t="s">
        <v>80</v>
      </c>
      <c r="U92" s="6" t="s">
        <v>19</v>
      </c>
      <c r="V92" s="178">
        <v>0.55015800000000004</v>
      </c>
      <c r="Z92" s="6" t="s">
        <v>80</v>
      </c>
      <c r="AA92" s="6" t="s">
        <v>19</v>
      </c>
      <c r="AB92" s="178">
        <v>0.501189</v>
      </c>
    </row>
    <row r="93" spans="2:28" x14ac:dyDescent="0.25">
      <c r="B93" s="6" t="s">
        <v>81</v>
      </c>
      <c r="C93" s="6" t="s">
        <v>19</v>
      </c>
      <c r="D93" s="178">
        <f t="shared" si="5"/>
        <v>1.0375179999999999</v>
      </c>
      <c r="H93" s="6" t="s">
        <v>81</v>
      </c>
      <c r="I93" s="6" t="s">
        <v>19</v>
      </c>
      <c r="J93" s="178">
        <v>0.96057800000000004</v>
      </c>
      <c r="N93" s="6" t="s">
        <v>81</v>
      </c>
      <c r="O93" s="6" t="s">
        <v>19</v>
      </c>
      <c r="P93" s="178">
        <v>0.86410100000000001</v>
      </c>
      <c r="T93" s="6" t="s">
        <v>81</v>
      </c>
      <c r="U93" s="6" t="s">
        <v>19</v>
      </c>
      <c r="V93" s="178">
        <v>0.92605400000000004</v>
      </c>
      <c r="Z93" s="6" t="s">
        <v>81</v>
      </c>
      <c r="AA93" s="6" t="s">
        <v>19</v>
      </c>
      <c r="AB93" s="178">
        <v>0.74559600000000004</v>
      </c>
    </row>
    <row r="94" spans="2:28" x14ac:dyDescent="0.25">
      <c r="B94" s="6" t="s">
        <v>185</v>
      </c>
      <c r="C94" s="6" t="s">
        <v>19</v>
      </c>
      <c r="D94" s="178">
        <f t="shared" si="5"/>
        <v>0.68854499999999996</v>
      </c>
      <c r="H94" s="6" t="s">
        <v>185</v>
      </c>
      <c r="I94" s="6" t="s">
        <v>19</v>
      </c>
      <c r="J94" s="178">
        <v>0.63224100000000005</v>
      </c>
      <c r="N94" s="6" t="s">
        <v>185</v>
      </c>
      <c r="O94" s="6" t="s">
        <v>19</v>
      </c>
      <c r="P94" s="178">
        <v>0.57312399999999997</v>
      </c>
      <c r="T94" s="6" t="s">
        <v>185</v>
      </c>
      <c r="U94" s="6" t="s">
        <v>19</v>
      </c>
      <c r="V94" s="178">
        <v>0.69186499999999995</v>
      </c>
      <c r="Z94" s="6" t="s">
        <v>185</v>
      </c>
      <c r="AA94" s="6" t="s">
        <v>19</v>
      </c>
      <c r="AB94" s="178">
        <v>0.68462400000000001</v>
      </c>
    </row>
    <row r="95" spans="2:28" x14ac:dyDescent="0.25">
      <c r="B95" s="6" t="s">
        <v>186</v>
      </c>
      <c r="C95" s="6" t="s">
        <v>19</v>
      </c>
      <c r="D95" s="178">
        <f t="shared" si="5"/>
        <v>0.31161</v>
      </c>
      <c r="H95" s="6" t="s">
        <v>186</v>
      </c>
      <c r="I95" s="6" t="s">
        <v>19</v>
      </c>
      <c r="J95" s="178">
        <v>0.28625899999999999</v>
      </c>
      <c r="N95" s="6" t="s">
        <v>186</v>
      </c>
      <c r="O95" s="6" t="s">
        <v>19</v>
      </c>
      <c r="P95" s="178">
        <v>0.25955800000000001</v>
      </c>
      <c r="T95" s="6" t="s">
        <v>186</v>
      </c>
      <c r="U95" s="6" t="s">
        <v>19</v>
      </c>
      <c r="V95" s="178">
        <v>0.30185499999999998</v>
      </c>
      <c r="Z95" s="6" t="s">
        <v>186</v>
      </c>
      <c r="AA95" s="6" t="s">
        <v>19</v>
      </c>
      <c r="AB95" s="178">
        <v>0.27670299999999998</v>
      </c>
    </row>
    <row r="96" spans="2:28" x14ac:dyDescent="0.25">
      <c r="B96" s="6" t="s">
        <v>187</v>
      </c>
      <c r="C96" s="6" t="s">
        <v>19</v>
      </c>
      <c r="D96" s="178">
        <f t="shared" si="5"/>
        <v>0.51193699999999998</v>
      </c>
      <c r="H96" s="6" t="s">
        <v>187</v>
      </c>
      <c r="I96" s="6" t="s">
        <v>19</v>
      </c>
      <c r="J96" s="178">
        <v>0.51312100000000005</v>
      </c>
      <c r="N96" s="6" t="s">
        <v>187</v>
      </c>
      <c r="O96" s="6" t="s">
        <v>19</v>
      </c>
      <c r="P96" s="178">
        <v>0.53219099999999997</v>
      </c>
      <c r="T96" s="6" t="s">
        <v>187</v>
      </c>
      <c r="U96" s="6" t="s">
        <v>19</v>
      </c>
      <c r="V96" s="178">
        <v>0.56520300000000001</v>
      </c>
      <c r="Z96" s="6" t="s">
        <v>187</v>
      </c>
      <c r="AA96" s="6" t="s">
        <v>19</v>
      </c>
      <c r="AB96" s="178">
        <v>0.51381699999999997</v>
      </c>
    </row>
    <row r="97" spans="2:29" x14ac:dyDescent="0.25">
      <c r="B97" s="6" t="s">
        <v>188</v>
      </c>
      <c r="C97" s="6" t="s">
        <v>19</v>
      </c>
      <c r="D97" s="178">
        <f t="shared" si="5"/>
        <v>0.33624100000000001</v>
      </c>
      <c r="H97" s="6" t="s">
        <v>188</v>
      </c>
      <c r="I97" s="6" t="s">
        <v>19</v>
      </c>
      <c r="J97" s="178">
        <v>0.32757199999999997</v>
      </c>
      <c r="N97" s="6" t="s">
        <v>188</v>
      </c>
      <c r="O97" s="6" t="s">
        <v>19</v>
      </c>
      <c r="P97" s="178">
        <v>0.33210400000000001</v>
      </c>
      <c r="T97" s="6" t="s">
        <v>188</v>
      </c>
      <c r="U97" s="6" t="s">
        <v>19</v>
      </c>
      <c r="V97" s="178">
        <v>0.37120500000000001</v>
      </c>
      <c r="Z97" s="6" t="s">
        <v>188</v>
      </c>
      <c r="AA97" s="6" t="s">
        <v>19</v>
      </c>
      <c r="AB97" s="178">
        <v>0.31637399999999999</v>
      </c>
    </row>
    <row r="98" spans="2:29" x14ac:dyDescent="0.25">
      <c r="B98" s="6" t="s">
        <v>189</v>
      </c>
      <c r="C98" s="6" t="s">
        <v>19</v>
      </c>
      <c r="D98" s="178">
        <f t="shared" si="5"/>
        <v>0.84817799999999999</v>
      </c>
      <c r="H98" s="6" t="s">
        <v>189</v>
      </c>
      <c r="I98" s="6" t="s">
        <v>19</v>
      </c>
      <c r="J98" s="178">
        <v>0.84069300000000002</v>
      </c>
      <c r="N98" s="6" t="s">
        <v>189</v>
      </c>
      <c r="O98" s="6" t="s">
        <v>19</v>
      </c>
      <c r="P98" s="178">
        <v>0.86429500000000004</v>
      </c>
      <c r="T98" s="6" t="s">
        <v>189</v>
      </c>
      <c r="U98" s="6" t="s">
        <v>19</v>
      </c>
      <c r="V98" s="178">
        <v>0.93640900000000005</v>
      </c>
      <c r="Z98" s="6" t="s">
        <v>189</v>
      </c>
      <c r="AA98" s="6" t="s">
        <v>19</v>
      </c>
      <c r="AB98" s="178">
        <v>0.83019100000000001</v>
      </c>
    </row>
    <row r="99" spans="2:29" x14ac:dyDescent="0.25">
      <c r="B99" s="6" t="s">
        <v>82</v>
      </c>
      <c r="C99" s="6" t="s">
        <v>83</v>
      </c>
      <c r="D99" s="184">
        <f t="shared" si="5"/>
        <v>150</v>
      </c>
      <c r="E99" s="184"/>
      <c r="H99" s="6" t="s">
        <v>82</v>
      </c>
      <c r="I99" s="6" t="s">
        <v>83</v>
      </c>
      <c r="J99" s="184">
        <v>150</v>
      </c>
      <c r="K99" s="184"/>
      <c r="N99" s="6" t="s">
        <v>82</v>
      </c>
      <c r="O99" s="6" t="s">
        <v>83</v>
      </c>
      <c r="P99" s="184">
        <v>150</v>
      </c>
      <c r="Q99" s="184"/>
      <c r="T99" s="6" t="s">
        <v>82</v>
      </c>
      <c r="U99" s="6" t="s">
        <v>83</v>
      </c>
      <c r="V99" s="184">
        <v>150</v>
      </c>
      <c r="W99" s="184"/>
      <c r="Z99" s="6" t="s">
        <v>82</v>
      </c>
      <c r="AA99" s="6" t="s">
        <v>83</v>
      </c>
      <c r="AB99" s="184">
        <v>150</v>
      </c>
      <c r="AC99" s="184"/>
    </row>
    <row r="100" spans="2:29" x14ac:dyDescent="0.25">
      <c r="B100" s="6" t="s">
        <v>84</v>
      </c>
      <c r="C100" s="6" t="s">
        <v>83</v>
      </c>
      <c r="D100" s="184">
        <f t="shared" si="5"/>
        <v>15</v>
      </c>
      <c r="E100" s="184"/>
      <c r="H100" s="6" t="s">
        <v>84</v>
      </c>
      <c r="I100" s="6" t="s">
        <v>83</v>
      </c>
      <c r="J100" s="184">
        <v>15</v>
      </c>
      <c r="K100" s="184"/>
      <c r="N100" s="6" t="s">
        <v>84</v>
      </c>
      <c r="O100" s="6" t="s">
        <v>83</v>
      </c>
      <c r="P100" s="184">
        <v>15</v>
      </c>
      <c r="Q100" s="184"/>
      <c r="T100" s="6" t="s">
        <v>84</v>
      </c>
      <c r="U100" s="6" t="s">
        <v>83</v>
      </c>
      <c r="V100" s="184">
        <v>15</v>
      </c>
      <c r="W100" s="184"/>
      <c r="Z100" s="6" t="s">
        <v>84</v>
      </c>
      <c r="AA100" s="6" t="s">
        <v>83</v>
      </c>
      <c r="AB100" s="184">
        <v>15</v>
      </c>
      <c r="AC100" s="184"/>
    </row>
    <row r="101" spans="2:29" x14ac:dyDescent="0.25">
      <c r="B101" s="6" t="s">
        <v>85</v>
      </c>
      <c r="C101" s="6" t="s">
        <v>83</v>
      </c>
      <c r="D101" s="184">
        <f t="shared" si="5"/>
        <v>120</v>
      </c>
      <c r="E101" s="184"/>
      <c r="H101" s="6" t="s">
        <v>85</v>
      </c>
      <c r="I101" s="6" t="s">
        <v>83</v>
      </c>
      <c r="J101" s="184">
        <v>120</v>
      </c>
      <c r="K101" s="184"/>
      <c r="N101" s="6" t="s">
        <v>85</v>
      </c>
      <c r="O101" s="6" t="s">
        <v>83</v>
      </c>
      <c r="P101" s="184">
        <v>120</v>
      </c>
      <c r="Q101" s="184"/>
      <c r="T101" s="6" t="s">
        <v>85</v>
      </c>
      <c r="U101" s="6" t="s">
        <v>83</v>
      </c>
      <c r="V101" s="184">
        <v>120</v>
      </c>
      <c r="W101" s="184"/>
      <c r="Z101" s="6" t="s">
        <v>85</v>
      </c>
      <c r="AA101" s="6" t="s">
        <v>83</v>
      </c>
      <c r="AB101" s="184">
        <v>120</v>
      </c>
      <c r="AC101" s="184"/>
    </row>
    <row r="102" spans="2:29" x14ac:dyDescent="0.25">
      <c r="B102" s="6" t="s">
        <v>86</v>
      </c>
      <c r="C102" s="6" t="s">
        <v>83</v>
      </c>
      <c r="D102" s="184">
        <f t="shared" si="5"/>
        <v>40.000500000000002</v>
      </c>
      <c r="E102" s="184"/>
      <c r="H102" s="6" t="s">
        <v>86</v>
      </c>
      <c r="I102" s="6" t="s">
        <v>83</v>
      </c>
      <c r="J102" s="184">
        <v>40.000500000000002</v>
      </c>
      <c r="K102" s="184"/>
      <c r="N102" s="6" t="s">
        <v>86</v>
      </c>
      <c r="O102" s="6" t="s">
        <v>83</v>
      </c>
      <c r="P102" s="184">
        <v>40.000500000000002</v>
      </c>
      <c r="Q102" s="184"/>
      <c r="T102" s="6" t="s">
        <v>86</v>
      </c>
      <c r="U102" s="6" t="s">
        <v>83</v>
      </c>
      <c r="V102" s="184">
        <v>40.000500000000002</v>
      </c>
      <c r="W102" s="184"/>
      <c r="Z102" s="6" t="s">
        <v>86</v>
      </c>
      <c r="AA102" s="6" t="s">
        <v>83</v>
      </c>
      <c r="AB102" s="184">
        <v>40.000500000000002</v>
      </c>
      <c r="AC102" s="184"/>
    </row>
    <row r="103" spans="2:29" x14ac:dyDescent="0.25">
      <c r="B103" s="15" t="s">
        <v>87</v>
      </c>
      <c r="C103" s="15" t="s">
        <v>83</v>
      </c>
      <c r="D103" s="179">
        <f t="shared" si="5"/>
        <v>0.3</v>
      </c>
      <c r="H103" s="15" t="s">
        <v>87</v>
      </c>
      <c r="I103" s="15" t="s">
        <v>83</v>
      </c>
      <c r="J103" s="179">
        <v>0.3</v>
      </c>
      <c r="N103" s="15" t="s">
        <v>87</v>
      </c>
      <c r="O103" s="15" t="s">
        <v>83</v>
      </c>
      <c r="P103" s="179">
        <v>0.3</v>
      </c>
      <c r="T103" s="15" t="s">
        <v>87</v>
      </c>
      <c r="U103" s="15" t="s">
        <v>83</v>
      </c>
      <c r="V103" s="179">
        <v>0.3</v>
      </c>
      <c r="Z103" s="15" t="s">
        <v>87</v>
      </c>
      <c r="AA103" s="15" t="s">
        <v>83</v>
      </c>
      <c r="AB103" s="179">
        <v>0.3</v>
      </c>
    </row>
    <row r="104" spans="2:29" x14ac:dyDescent="0.25">
      <c r="B104" s="6" t="s">
        <v>88</v>
      </c>
      <c r="C104" s="6" t="s">
        <v>83</v>
      </c>
      <c r="D104" s="184">
        <f t="shared" si="5"/>
        <v>1.0004999999999999</v>
      </c>
      <c r="E104" s="184"/>
      <c r="H104" s="6" t="s">
        <v>88</v>
      </c>
      <c r="I104" s="6" t="s">
        <v>83</v>
      </c>
      <c r="J104" s="184">
        <v>1.0004999999999999</v>
      </c>
      <c r="K104" s="184"/>
      <c r="N104" s="6" t="s">
        <v>88</v>
      </c>
      <c r="O104" s="6" t="s">
        <v>83</v>
      </c>
      <c r="P104" s="184">
        <v>1.0004999999999999</v>
      </c>
      <c r="Q104" s="184"/>
      <c r="T104" s="6" t="s">
        <v>88</v>
      </c>
      <c r="U104" s="6" t="s">
        <v>83</v>
      </c>
      <c r="V104" s="184">
        <v>1.0004999999999999</v>
      </c>
      <c r="W104" s="184"/>
      <c r="Z104" s="6" t="s">
        <v>88</v>
      </c>
      <c r="AA104" s="6" t="s">
        <v>83</v>
      </c>
      <c r="AB104" s="184">
        <v>1.0004999999999999</v>
      </c>
      <c r="AC104" s="184"/>
    </row>
    <row r="105" spans="2:29" hidden="1" x14ac:dyDescent="0.25">
      <c r="B105" s="6" t="s">
        <v>89</v>
      </c>
      <c r="C105" s="6" t="s">
        <v>90</v>
      </c>
      <c r="D105" s="185">
        <f t="shared" si="5"/>
        <v>12000</v>
      </c>
      <c r="E105" s="185"/>
      <c r="H105" s="6" t="s">
        <v>89</v>
      </c>
      <c r="I105" s="6" t="s">
        <v>90</v>
      </c>
      <c r="J105" s="185">
        <v>12000</v>
      </c>
      <c r="K105" s="185"/>
      <c r="N105" s="6" t="s">
        <v>89</v>
      </c>
      <c r="O105" s="6" t="s">
        <v>90</v>
      </c>
      <c r="P105" s="185">
        <v>12000</v>
      </c>
      <c r="Q105" s="185"/>
      <c r="T105" s="6" t="s">
        <v>89</v>
      </c>
      <c r="U105" s="6" t="s">
        <v>90</v>
      </c>
      <c r="V105" s="185">
        <v>12000</v>
      </c>
      <c r="W105" s="185"/>
      <c r="Z105" s="6" t="s">
        <v>89</v>
      </c>
      <c r="AA105" s="6" t="s">
        <v>90</v>
      </c>
      <c r="AB105" s="185">
        <v>12000</v>
      </c>
      <c r="AC105" s="185"/>
    </row>
    <row r="106" spans="2:29" hidden="1" x14ac:dyDescent="0.25">
      <c r="B106" s="6" t="s">
        <v>91</v>
      </c>
      <c r="C106" s="6" t="s">
        <v>90</v>
      </c>
      <c r="D106" s="185">
        <f t="shared" si="5"/>
        <v>1500</v>
      </c>
      <c r="E106" s="185"/>
      <c r="H106" s="6" t="s">
        <v>91</v>
      </c>
      <c r="I106" s="6" t="s">
        <v>90</v>
      </c>
      <c r="J106" s="185">
        <v>1500</v>
      </c>
      <c r="K106" s="185"/>
      <c r="N106" s="6" t="s">
        <v>91</v>
      </c>
      <c r="O106" s="6" t="s">
        <v>90</v>
      </c>
      <c r="P106" s="185">
        <v>1500</v>
      </c>
      <c r="Q106" s="185"/>
      <c r="T106" s="6" t="s">
        <v>91</v>
      </c>
      <c r="U106" s="6" t="s">
        <v>90</v>
      </c>
      <c r="V106" s="185">
        <v>1500</v>
      </c>
      <c r="W106" s="185"/>
      <c r="Z106" s="6" t="s">
        <v>91</v>
      </c>
      <c r="AA106" s="6" t="s">
        <v>90</v>
      </c>
      <c r="AB106" s="185">
        <v>1500</v>
      </c>
      <c r="AC106" s="185"/>
    </row>
    <row r="107" spans="2:29" hidden="1" x14ac:dyDescent="0.25">
      <c r="B107" s="6" t="s">
        <v>92</v>
      </c>
      <c r="C107" s="6" t="s">
        <v>90</v>
      </c>
      <c r="D107" s="185">
        <f t="shared" si="5"/>
        <v>49.999499999999998</v>
      </c>
      <c r="E107" s="185"/>
      <c r="H107" s="6" t="s">
        <v>92</v>
      </c>
      <c r="I107" s="6" t="s">
        <v>90</v>
      </c>
      <c r="J107" s="185">
        <v>49.999499999999998</v>
      </c>
      <c r="K107" s="185"/>
      <c r="N107" s="6" t="s">
        <v>92</v>
      </c>
      <c r="O107" s="6" t="s">
        <v>90</v>
      </c>
      <c r="P107" s="185">
        <v>49.999499999999998</v>
      </c>
      <c r="Q107" s="185"/>
      <c r="T107" s="6" t="s">
        <v>92</v>
      </c>
      <c r="U107" s="6" t="s">
        <v>90</v>
      </c>
      <c r="V107" s="185">
        <v>49.999499999999998</v>
      </c>
      <c r="W107" s="185"/>
      <c r="Z107" s="6" t="s">
        <v>92</v>
      </c>
      <c r="AA107" s="6" t="s">
        <v>90</v>
      </c>
      <c r="AB107" s="185">
        <v>49.999499999999998</v>
      </c>
      <c r="AC107" s="185"/>
    </row>
    <row r="108" spans="2:29" hidden="1" x14ac:dyDescent="0.25">
      <c r="B108" s="6" t="s">
        <v>93</v>
      </c>
      <c r="C108" s="6" t="s">
        <v>83</v>
      </c>
      <c r="D108" s="184">
        <f t="shared" si="5"/>
        <v>4.5</v>
      </c>
      <c r="E108" s="184"/>
      <c r="H108" s="6" t="s">
        <v>93</v>
      </c>
      <c r="I108" s="6" t="s">
        <v>83</v>
      </c>
      <c r="J108" s="184">
        <v>4.5</v>
      </c>
      <c r="K108" s="184"/>
      <c r="N108" s="6" t="s">
        <v>93</v>
      </c>
      <c r="O108" s="6" t="s">
        <v>83</v>
      </c>
      <c r="P108" s="184">
        <v>4.5</v>
      </c>
      <c r="Q108" s="184"/>
      <c r="T108" s="6" t="s">
        <v>93</v>
      </c>
      <c r="U108" s="6" t="s">
        <v>83</v>
      </c>
      <c r="V108" s="184">
        <v>4.5</v>
      </c>
      <c r="W108" s="184"/>
      <c r="Z108" s="6" t="s">
        <v>93</v>
      </c>
      <c r="AA108" s="6" t="s">
        <v>83</v>
      </c>
      <c r="AB108" s="184">
        <v>4.5</v>
      </c>
      <c r="AC108" s="184"/>
    </row>
    <row r="109" spans="2:29" hidden="1" x14ac:dyDescent="0.25">
      <c r="B109" s="6" t="s">
        <v>94</v>
      </c>
      <c r="C109" s="6" t="s">
        <v>83</v>
      </c>
      <c r="D109" s="178">
        <f t="shared" si="5"/>
        <v>1.0004999999999999</v>
      </c>
      <c r="H109" s="6" t="s">
        <v>94</v>
      </c>
      <c r="I109" s="6" t="s">
        <v>83</v>
      </c>
      <c r="J109" s="178">
        <v>1.0004999999999999</v>
      </c>
      <c r="N109" s="6" t="s">
        <v>94</v>
      </c>
      <c r="O109" s="6" t="s">
        <v>83</v>
      </c>
      <c r="P109" s="178">
        <v>1.0004999999999999</v>
      </c>
      <c r="T109" s="6" t="s">
        <v>94</v>
      </c>
      <c r="U109" s="6" t="s">
        <v>83</v>
      </c>
      <c r="V109" s="178">
        <v>1.0004999999999999</v>
      </c>
      <c r="Z109" s="6" t="s">
        <v>94</v>
      </c>
      <c r="AA109" s="6" t="s">
        <v>83</v>
      </c>
      <c r="AB109" s="178">
        <v>1.0004999999999999</v>
      </c>
    </row>
    <row r="110" spans="2:29" hidden="1" x14ac:dyDescent="0.25">
      <c r="B110" s="6" t="s">
        <v>95</v>
      </c>
      <c r="C110" s="6" t="s">
        <v>83</v>
      </c>
      <c r="D110" s="178">
        <f t="shared" si="5"/>
        <v>7.0004999999999997</v>
      </c>
      <c r="H110" s="6" t="s">
        <v>95</v>
      </c>
      <c r="I110" s="6" t="s">
        <v>83</v>
      </c>
      <c r="J110" s="178">
        <v>7.0004999999999997</v>
      </c>
      <c r="N110" s="6" t="s">
        <v>95</v>
      </c>
      <c r="O110" s="6" t="s">
        <v>83</v>
      </c>
      <c r="P110" s="178">
        <v>7.0004999999999997</v>
      </c>
      <c r="T110" s="6" t="s">
        <v>95</v>
      </c>
      <c r="U110" s="6" t="s">
        <v>83</v>
      </c>
      <c r="V110" s="178">
        <v>7.0004999999999997</v>
      </c>
      <c r="Z110" s="6" t="s">
        <v>95</v>
      </c>
      <c r="AA110" s="6" t="s">
        <v>83</v>
      </c>
      <c r="AB110" s="178">
        <v>7.0004999999999997</v>
      </c>
    </row>
    <row r="111" spans="2:29" hidden="1" x14ac:dyDescent="0.25">
      <c r="B111" s="6" t="s">
        <v>96</v>
      </c>
      <c r="C111" s="6" t="s">
        <v>83</v>
      </c>
      <c r="D111" s="178">
        <f t="shared" si="5"/>
        <v>34.999499999999998</v>
      </c>
      <c r="H111" s="6" t="s">
        <v>96</v>
      </c>
      <c r="I111" s="6" t="s">
        <v>83</v>
      </c>
      <c r="J111" s="178">
        <v>34.999499999999998</v>
      </c>
      <c r="N111" s="6" t="s">
        <v>96</v>
      </c>
      <c r="O111" s="6" t="s">
        <v>83</v>
      </c>
      <c r="P111" s="178">
        <v>34.999499999999998</v>
      </c>
      <c r="T111" s="6" t="s">
        <v>96</v>
      </c>
      <c r="U111" s="6" t="s">
        <v>83</v>
      </c>
      <c r="V111" s="178">
        <v>34.999499999999998</v>
      </c>
      <c r="Z111" s="6" t="s">
        <v>96</v>
      </c>
      <c r="AA111" s="6" t="s">
        <v>83</v>
      </c>
      <c r="AB111" s="178">
        <v>34.999499999999998</v>
      </c>
    </row>
    <row r="112" spans="2:29" hidden="1" x14ac:dyDescent="0.25">
      <c r="B112" s="6" t="s">
        <v>97</v>
      </c>
      <c r="C112" s="6" t="s">
        <v>83</v>
      </c>
      <c r="D112" s="178">
        <f t="shared" si="5"/>
        <v>600</v>
      </c>
      <c r="H112" s="6" t="s">
        <v>97</v>
      </c>
      <c r="I112" s="6" t="s">
        <v>83</v>
      </c>
      <c r="J112" s="178">
        <v>600</v>
      </c>
      <c r="N112" s="6" t="s">
        <v>97</v>
      </c>
      <c r="O112" s="6" t="s">
        <v>83</v>
      </c>
      <c r="P112" s="178">
        <v>600</v>
      </c>
      <c r="T112" s="6" t="s">
        <v>97</v>
      </c>
      <c r="U112" s="6" t="s">
        <v>83</v>
      </c>
      <c r="V112" s="178">
        <v>600</v>
      </c>
      <c r="Z112" s="6" t="s">
        <v>97</v>
      </c>
      <c r="AA112" s="6" t="s">
        <v>83</v>
      </c>
      <c r="AB112" s="178">
        <v>600</v>
      </c>
    </row>
    <row r="113" spans="2:28" hidden="1" x14ac:dyDescent="0.25">
      <c r="B113" s="6" t="s">
        <v>98</v>
      </c>
      <c r="C113" s="6" t="s">
        <v>83</v>
      </c>
      <c r="D113" s="178">
        <f t="shared" si="5"/>
        <v>19.999500000000001</v>
      </c>
      <c r="H113" s="6" t="s">
        <v>98</v>
      </c>
      <c r="I113" s="6" t="s">
        <v>83</v>
      </c>
      <c r="J113" s="178">
        <v>19.999500000000001</v>
      </c>
      <c r="N113" s="6" t="s">
        <v>98</v>
      </c>
      <c r="O113" s="6" t="s">
        <v>83</v>
      </c>
      <c r="P113" s="178">
        <v>19.999500000000001</v>
      </c>
      <c r="T113" s="6" t="s">
        <v>98</v>
      </c>
      <c r="U113" s="6" t="s">
        <v>83</v>
      </c>
      <c r="V113" s="178">
        <v>19.999500000000001</v>
      </c>
      <c r="Z113" s="6" t="s">
        <v>98</v>
      </c>
      <c r="AA113" s="6" t="s">
        <v>83</v>
      </c>
      <c r="AB113" s="178">
        <v>19.999500000000001</v>
      </c>
    </row>
    <row r="114" spans="2:28" hidden="1" x14ac:dyDescent="0.25">
      <c r="B114" s="6" t="s">
        <v>99</v>
      </c>
      <c r="C114" s="6" t="s">
        <v>83</v>
      </c>
      <c r="D114" s="178">
        <f t="shared" si="5"/>
        <v>3</v>
      </c>
      <c r="H114" s="6" t="s">
        <v>99</v>
      </c>
      <c r="I114" s="6" t="s">
        <v>83</v>
      </c>
      <c r="J114" s="178">
        <v>3</v>
      </c>
      <c r="N114" s="6" t="s">
        <v>99</v>
      </c>
      <c r="O114" s="6" t="s">
        <v>83</v>
      </c>
      <c r="P114" s="178">
        <v>3</v>
      </c>
      <c r="T114" s="6" t="s">
        <v>99</v>
      </c>
      <c r="U114" s="6" t="s">
        <v>83</v>
      </c>
      <c r="V114" s="178">
        <v>3</v>
      </c>
      <c r="Z114" s="6" t="s">
        <v>99</v>
      </c>
      <c r="AA114" s="6" t="s">
        <v>83</v>
      </c>
      <c r="AB114" s="178">
        <v>3</v>
      </c>
    </row>
    <row r="115" spans="2:28" hidden="1" x14ac:dyDescent="0.25">
      <c r="B115" s="6" t="s">
        <v>100</v>
      </c>
      <c r="C115" s="6" t="s">
        <v>83</v>
      </c>
      <c r="D115" s="178">
        <f t="shared" si="5"/>
        <v>0.45</v>
      </c>
      <c r="H115" s="6" t="s">
        <v>100</v>
      </c>
      <c r="I115" s="6" t="s">
        <v>83</v>
      </c>
      <c r="J115" s="178">
        <v>0.45</v>
      </c>
      <c r="N115" s="6" t="s">
        <v>100</v>
      </c>
      <c r="O115" s="6" t="s">
        <v>83</v>
      </c>
      <c r="P115" s="178">
        <v>0.45</v>
      </c>
      <c r="T115" s="6" t="s">
        <v>100</v>
      </c>
      <c r="U115" s="6" t="s">
        <v>83</v>
      </c>
      <c r="V115" s="178">
        <v>0.45</v>
      </c>
      <c r="Z115" s="6" t="s">
        <v>100</v>
      </c>
      <c r="AA115" s="6" t="s">
        <v>83</v>
      </c>
      <c r="AB115" s="178">
        <v>0.45</v>
      </c>
    </row>
    <row r="116" spans="2:28" hidden="1" x14ac:dyDescent="0.25">
      <c r="B116" s="6" t="s">
        <v>101</v>
      </c>
      <c r="C116" s="6" t="s">
        <v>83</v>
      </c>
      <c r="D116" s="178">
        <f t="shared" si="5"/>
        <v>1.9995000000000001</v>
      </c>
      <c r="H116" s="6" t="s">
        <v>101</v>
      </c>
      <c r="I116" s="6" t="s">
        <v>83</v>
      </c>
      <c r="J116" s="178">
        <v>1.9995000000000001</v>
      </c>
      <c r="N116" s="6" t="s">
        <v>101</v>
      </c>
      <c r="O116" s="6" t="s">
        <v>83</v>
      </c>
      <c r="P116" s="178">
        <v>1.9995000000000001</v>
      </c>
      <c r="T116" s="6" t="s">
        <v>101</v>
      </c>
      <c r="U116" s="6" t="s">
        <v>83</v>
      </c>
      <c r="V116" s="178">
        <v>1.9995000000000001</v>
      </c>
      <c r="Z116" s="6" t="s">
        <v>101</v>
      </c>
      <c r="AA116" s="6" t="s">
        <v>83</v>
      </c>
      <c r="AB116" s="178">
        <v>1.9995000000000001</v>
      </c>
    </row>
    <row r="117" spans="2:28" hidden="1" x14ac:dyDescent="0.25">
      <c r="B117" s="6" t="s">
        <v>102</v>
      </c>
      <c r="C117" s="6" t="s">
        <v>83</v>
      </c>
      <c r="D117" s="178">
        <f t="shared" si="5"/>
        <v>4.0500000000000001E-2</v>
      </c>
      <c r="H117" s="6" t="s">
        <v>102</v>
      </c>
      <c r="I117" s="6" t="s">
        <v>83</v>
      </c>
      <c r="J117" s="178">
        <v>4.0500000000000001E-2</v>
      </c>
      <c r="N117" s="6" t="s">
        <v>102</v>
      </c>
      <c r="O117" s="6" t="s">
        <v>83</v>
      </c>
      <c r="P117" s="178">
        <v>4.0500000000000001E-2</v>
      </c>
      <c r="T117" s="6" t="s">
        <v>102</v>
      </c>
      <c r="U117" s="6" t="s">
        <v>83</v>
      </c>
      <c r="V117" s="178">
        <v>4.0500000000000001E-2</v>
      </c>
      <c r="Z117" s="6" t="s">
        <v>102</v>
      </c>
      <c r="AA117" s="6" t="s">
        <v>83</v>
      </c>
      <c r="AB117" s="178">
        <v>4.0500000000000001E-2</v>
      </c>
    </row>
    <row r="118" spans="2:28" hidden="1" x14ac:dyDescent="0.25">
      <c r="B118" s="6" t="s">
        <v>103</v>
      </c>
      <c r="C118" s="6" t="s">
        <v>104</v>
      </c>
      <c r="D118" s="178">
        <f t="shared" si="5"/>
        <v>51.299874000000003</v>
      </c>
      <c r="H118" s="6" t="s">
        <v>103</v>
      </c>
      <c r="I118" s="6" t="s">
        <v>104</v>
      </c>
      <c r="J118" s="178">
        <v>43.124066999999997</v>
      </c>
      <c r="N118" s="6" t="s">
        <v>103</v>
      </c>
      <c r="O118" s="6" t="s">
        <v>104</v>
      </c>
      <c r="P118" s="178">
        <v>30.489844999999999</v>
      </c>
      <c r="T118" s="6" t="s">
        <v>103</v>
      </c>
      <c r="U118" s="6" t="s">
        <v>104</v>
      </c>
      <c r="V118" s="178">
        <v>37.223334999999999</v>
      </c>
      <c r="Z118" s="6" t="s">
        <v>103</v>
      </c>
      <c r="AA118" s="6" t="s">
        <v>104</v>
      </c>
      <c r="AB118" s="178">
        <v>31.034003999999999</v>
      </c>
    </row>
    <row r="119" spans="2:28" hidden="1" x14ac:dyDescent="0.25">
      <c r="B119" s="6" t="s">
        <v>105</v>
      </c>
      <c r="C119" s="6" t="s">
        <v>106</v>
      </c>
      <c r="D119" s="178">
        <f t="shared" si="5"/>
        <v>498.27947</v>
      </c>
      <c r="H119" s="6" t="s">
        <v>105</v>
      </c>
      <c r="I119" s="6" t="s">
        <v>106</v>
      </c>
      <c r="J119" s="178">
        <v>496.53782000000001</v>
      </c>
      <c r="N119" s="6" t="s">
        <v>105</v>
      </c>
      <c r="O119" s="6" t="s">
        <v>106</v>
      </c>
      <c r="P119" s="178">
        <v>497.53247499999998</v>
      </c>
      <c r="T119" s="6" t="s">
        <v>105</v>
      </c>
      <c r="U119" s="6" t="s">
        <v>106</v>
      </c>
      <c r="V119" s="178">
        <v>482.17508600000002</v>
      </c>
      <c r="Z119" s="6" t="s">
        <v>105</v>
      </c>
      <c r="AA119" s="6" t="s">
        <v>106</v>
      </c>
      <c r="AB119" s="178">
        <v>495.54441600000001</v>
      </c>
    </row>
    <row r="120" spans="2:28" hidden="1" x14ac:dyDescent="0.25">
      <c r="B120" s="6" t="s">
        <v>107</v>
      </c>
      <c r="D120" s="178">
        <f t="shared" si="5"/>
        <v>4.6191009999999997</v>
      </c>
      <c r="H120" s="6" t="s">
        <v>107</v>
      </c>
      <c r="J120" s="178">
        <v>4.6171550000000003</v>
      </c>
      <c r="N120" s="6" t="s">
        <v>107</v>
      </c>
      <c r="P120" s="178">
        <v>5.0653059999999996</v>
      </c>
      <c r="T120" s="6" t="s">
        <v>107</v>
      </c>
      <c r="V120" s="178">
        <v>6.3101099999999999</v>
      </c>
      <c r="Z120" s="6" t="s">
        <v>107</v>
      </c>
      <c r="AB120" s="178">
        <v>6.7459210000000001</v>
      </c>
    </row>
    <row r="121" spans="2:28" hidden="1" x14ac:dyDescent="0.25">
      <c r="B121" s="6" t="s">
        <v>203</v>
      </c>
      <c r="C121" s="6" t="s">
        <v>83</v>
      </c>
      <c r="D121" s="178">
        <f t="shared" si="5"/>
        <v>0</v>
      </c>
      <c r="H121" s="6" t="s">
        <v>203</v>
      </c>
      <c r="I121" s="6" t="s">
        <v>83</v>
      </c>
      <c r="J121" s="178">
        <v>0</v>
      </c>
      <c r="N121" s="6" t="s">
        <v>203</v>
      </c>
      <c r="O121" s="6" t="s">
        <v>83</v>
      </c>
      <c r="P121" s="178">
        <v>0</v>
      </c>
      <c r="T121" s="6" t="s">
        <v>203</v>
      </c>
      <c r="U121" s="6" t="s">
        <v>83</v>
      </c>
      <c r="V121" s="178">
        <v>0</v>
      </c>
      <c r="Z121" s="6" t="s">
        <v>203</v>
      </c>
      <c r="AA121" s="6" t="s">
        <v>83</v>
      </c>
      <c r="AB121" s="178">
        <v>0</v>
      </c>
    </row>
    <row r="122" spans="2:28" hidden="1" x14ac:dyDescent="0.25">
      <c r="B122" s="6" t="s">
        <v>204</v>
      </c>
      <c r="C122" s="6" t="s">
        <v>83</v>
      </c>
      <c r="D122" s="178">
        <f t="shared" si="5"/>
        <v>0</v>
      </c>
      <c r="H122" s="6" t="s">
        <v>204</v>
      </c>
      <c r="I122" s="6" t="s">
        <v>83</v>
      </c>
      <c r="J122" s="178">
        <v>0</v>
      </c>
      <c r="N122" s="6" t="s">
        <v>204</v>
      </c>
      <c r="O122" s="6" t="s">
        <v>83</v>
      </c>
      <c r="P122" s="178">
        <v>0</v>
      </c>
      <c r="T122" s="6" t="s">
        <v>204</v>
      </c>
      <c r="U122" s="6" t="s">
        <v>83</v>
      </c>
      <c r="V122" s="178">
        <v>0</v>
      </c>
      <c r="Z122" s="6" t="s">
        <v>204</v>
      </c>
      <c r="AA122" s="6" t="s">
        <v>83</v>
      </c>
      <c r="AB122" s="178">
        <v>0</v>
      </c>
    </row>
    <row r="123" spans="2:28" hidden="1" x14ac:dyDescent="0.25">
      <c r="B123" s="6" t="s">
        <v>205</v>
      </c>
      <c r="C123" s="6" t="s">
        <v>83</v>
      </c>
      <c r="D123" s="178">
        <f t="shared" ref="D123:D147" si="6">IFERROR(VLOOKUP(B123,raw_2,3,FALSE),0)</f>
        <v>0</v>
      </c>
      <c r="H123" s="6" t="s">
        <v>205</v>
      </c>
      <c r="I123" s="6" t="s">
        <v>83</v>
      </c>
      <c r="J123" s="178">
        <v>0</v>
      </c>
      <c r="N123" s="6" t="s">
        <v>205</v>
      </c>
      <c r="O123" s="6" t="s">
        <v>83</v>
      </c>
      <c r="P123" s="178">
        <v>0</v>
      </c>
      <c r="T123" s="6" t="s">
        <v>205</v>
      </c>
      <c r="U123" s="6" t="s">
        <v>83</v>
      </c>
      <c r="V123" s="178">
        <v>0</v>
      </c>
      <c r="Z123" s="6" t="s">
        <v>205</v>
      </c>
      <c r="AA123" s="6" t="s">
        <v>83</v>
      </c>
      <c r="AB123" s="178">
        <v>0</v>
      </c>
    </row>
    <row r="124" spans="2:28" hidden="1" x14ac:dyDescent="0.25">
      <c r="B124" s="6" t="s">
        <v>191</v>
      </c>
      <c r="C124" s="6" t="s">
        <v>83</v>
      </c>
      <c r="D124" s="178">
        <f t="shared" si="6"/>
        <v>0</v>
      </c>
      <c r="H124" s="6" t="s">
        <v>191</v>
      </c>
      <c r="I124" s="6" t="s">
        <v>83</v>
      </c>
      <c r="J124" s="178">
        <v>0</v>
      </c>
      <c r="N124" s="6" t="s">
        <v>191</v>
      </c>
      <c r="O124" s="6" t="s">
        <v>83</v>
      </c>
      <c r="P124" s="178">
        <v>0</v>
      </c>
      <c r="T124" s="6" t="s">
        <v>191</v>
      </c>
      <c r="U124" s="6" t="s">
        <v>83</v>
      </c>
      <c r="V124" s="178">
        <v>0</v>
      </c>
      <c r="Z124" s="6" t="s">
        <v>191</v>
      </c>
      <c r="AA124" s="6" t="s">
        <v>83</v>
      </c>
      <c r="AB124" s="178">
        <v>0</v>
      </c>
    </row>
    <row r="125" spans="2:28" hidden="1" x14ac:dyDescent="0.25">
      <c r="B125" s="6" t="s">
        <v>192</v>
      </c>
      <c r="C125" s="6" t="s">
        <v>83</v>
      </c>
      <c r="D125" s="178">
        <f t="shared" si="6"/>
        <v>0</v>
      </c>
      <c r="H125" s="6" t="s">
        <v>192</v>
      </c>
      <c r="I125" s="6" t="s">
        <v>83</v>
      </c>
      <c r="J125" s="178">
        <v>0</v>
      </c>
      <c r="N125" s="6" t="s">
        <v>192</v>
      </c>
      <c r="O125" s="6" t="s">
        <v>83</v>
      </c>
      <c r="P125" s="178">
        <v>0</v>
      </c>
      <c r="T125" s="6" t="s">
        <v>192</v>
      </c>
      <c r="U125" s="6" t="s">
        <v>83</v>
      </c>
      <c r="V125" s="178">
        <v>0</v>
      </c>
      <c r="Z125" s="6" t="s">
        <v>192</v>
      </c>
      <c r="AA125" s="6" t="s">
        <v>83</v>
      </c>
      <c r="AB125" s="178">
        <v>0</v>
      </c>
    </row>
    <row r="126" spans="2:28" hidden="1" x14ac:dyDescent="0.25">
      <c r="B126" s="6" t="s">
        <v>193</v>
      </c>
      <c r="C126" s="6" t="s">
        <v>83</v>
      </c>
      <c r="D126" s="178">
        <f t="shared" si="6"/>
        <v>0</v>
      </c>
      <c r="H126" s="6" t="s">
        <v>193</v>
      </c>
      <c r="I126" s="6" t="s">
        <v>83</v>
      </c>
      <c r="J126" s="178">
        <v>0</v>
      </c>
      <c r="N126" s="6" t="s">
        <v>193</v>
      </c>
      <c r="O126" s="6" t="s">
        <v>83</v>
      </c>
      <c r="P126" s="178">
        <v>0</v>
      </c>
      <c r="T126" s="6" t="s">
        <v>193</v>
      </c>
      <c r="U126" s="6" t="s">
        <v>83</v>
      </c>
      <c r="V126" s="178">
        <v>0</v>
      </c>
      <c r="Z126" s="6" t="s">
        <v>193</v>
      </c>
      <c r="AA126" s="6" t="s">
        <v>83</v>
      </c>
      <c r="AB126" s="178">
        <v>0</v>
      </c>
    </row>
    <row r="127" spans="2:28" hidden="1" x14ac:dyDescent="0.25">
      <c r="B127" s="6" t="s">
        <v>194</v>
      </c>
      <c r="C127" s="6" t="s">
        <v>83</v>
      </c>
      <c r="D127" s="178">
        <f t="shared" si="6"/>
        <v>0</v>
      </c>
      <c r="H127" s="6" t="s">
        <v>194</v>
      </c>
      <c r="I127" s="6" t="s">
        <v>83</v>
      </c>
      <c r="J127" s="178">
        <v>0</v>
      </c>
      <c r="N127" s="6" t="s">
        <v>194</v>
      </c>
      <c r="O127" s="6" t="s">
        <v>83</v>
      </c>
      <c r="P127" s="178">
        <v>0</v>
      </c>
      <c r="T127" s="6" t="s">
        <v>194</v>
      </c>
      <c r="U127" s="6" t="s">
        <v>83</v>
      </c>
      <c r="V127" s="178">
        <v>0</v>
      </c>
      <c r="Z127" s="6" t="s">
        <v>194</v>
      </c>
      <c r="AA127" s="6" t="s">
        <v>83</v>
      </c>
      <c r="AB127" s="178">
        <v>0</v>
      </c>
    </row>
    <row r="128" spans="2:28" hidden="1" x14ac:dyDescent="0.25">
      <c r="B128" s="6" t="s">
        <v>195</v>
      </c>
      <c r="C128" s="6" t="s">
        <v>83</v>
      </c>
      <c r="D128" s="178">
        <f t="shared" si="6"/>
        <v>0</v>
      </c>
      <c r="H128" s="6" t="s">
        <v>195</v>
      </c>
      <c r="I128" s="6" t="s">
        <v>83</v>
      </c>
      <c r="J128" s="178">
        <v>0</v>
      </c>
      <c r="N128" s="6" t="s">
        <v>195</v>
      </c>
      <c r="O128" s="6" t="s">
        <v>83</v>
      </c>
      <c r="P128" s="178">
        <v>0</v>
      </c>
      <c r="T128" s="6" t="s">
        <v>195</v>
      </c>
      <c r="U128" s="6" t="s">
        <v>83</v>
      </c>
      <c r="V128" s="178">
        <v>0</v>
      </c>
      <c r="Z128" s="6" t="s">
        <v>195</v>
      </c>
      <c r="AA128" s="6" t="s">
        <v>83</v>
      </c>
      <c r="AB128" s="178">
        <v>0</v>
      </c>
    </row>
    <row r="129" spans="2:28" hidden="1" x14ac:dyDescent="0.25">
      <c r="B129" s="6" t="s">
        <v>196</v>
      </c>
      <c r="C129" s="6" t="s">
        <v>83</v>
      </c>
      <c r="D129" s="178">
        <f t="shared" si="6"/>
        <v>0</v>
      </c>
      <c r="H129" s="6" t="s">
        <v>196</v>
      </c>
      <c r="I129" s="6" t="s">
        <v>83</v>
      </c>
      <c r="J129" s="178">
        <v>0</v>
      </c>
      <c r="N129" s="6" t="s">
        <v>196</v>
      </c>
      <c r="O129" s="6" t="s">
        <v>83</v>
      </c>
      <c r="P129" s="178">
        <v>0</v>
      </c>
      <c r="T129" s="6" t="s">
        <v>196</v>
      </c>
      <c r="U129" s="6" t="s">
        <v>83</v>
      </c>
      <c r="V129" s="178">
        <v>0</v>
      </c>
      <c r="Z129" s="6" t="s">
        <v>196</v>
      </c>
      <c r="AA129" s="6" t="s">
        <v>83</v>
      </c>
      <c r="AB129" s="178">
        <v>0</v>
      </c>
    </row>
    <row r="130" spans="2:28" hidden="1" x14ac:dyDescent="0.25">
      <c r="B130" s="6" t="s">
        <v>197</v>
      </c>
      <c r="C130" s="6" t="s">
        <v>83</v>
      </c>
      <c r="D130" s="178">
        <f t="shared" si="6"/>
        <v>0</v>
      </c>
      <c r="H130" s="6" t="s">
        <v>197</v>
      </c>
      <c r="I130" s="6" t="s">
        <v>83</v>
      </c>
      <c r="J130" s="178">
        <v>0</v>
      </c>
      <c r="N130" s="6" t="s">
        <v>197</v>
      </c>
      <c r="O130" s="6" t="s">
        <v>83</v>
      </c>
      <c r="P130" s="178">
        <v>0</v>
      </c>
      <c r="T130" s="6" t="s">
        <v>197</v>
      </c>
      <c r="U130" s="6" t="s">
        <v>83</v>
      </c>
      <c r="V130" s="178">
        <v>0</v>
      </c>
      <c r="Z130" s="6" t="s">
        <v>197</v>
      </c>
      <c r="AA130" s="6" t="s">
        <v>83</v>
      </c>
      <c r="AB130" s="178">
        <v>0</v>
      </c>
    </row>
    <row r="131" spans="2:28" hidden="1" x14ac:dyDescent="0.25">
      <c r="B131" s="6" t="s">
        <v>198</v>
      </c>
      <c r="C131" s="6" t="s">
        <v>83</v>
      </c>
      <c r="D131" s="178">
        <f t="shared" si="6"/>
        <v>0</v>
      </c>
      <c r="H131" s="6" t="s">
        <v>198</v>
      </c>
      <c r="I131" s="6" t="s">
        <v>83</v>
      </c>
      <c r="J131" s="178">
        <v>0</v>
      </c>
      <c r="N131" s="6" t="s">
        <v>198</v>
      </c>
      <c r="O131" s="6" t="s">
        <v>83</v>
      </c>
      <c r="P131" s="178">
        <v>0</v>
      </c>
      <c r="T131" s="6" t="s">
        <v>198</v>
      </c>
      <c r="U131" s="6" t="s">
        <v>83</v>
      </c>
      <c r="V131" s="178">
        <v>0</v>
      </c>
      <c r="Z131" s="6" t="s">
        <v>198</v>
      </c>
      <c r="AA131" s="6" t="s">
        <v>83</v>
      </c>
      <c r="AB131" s="178">
        <v>0</v>
      </c>
    </row>
    <row r="132" spans="2:28" hidden="1" x14ac:dyDescent="0.25">
      <c r="B132" s="6" t="s">
        <v>199</v>
      </c>
      <c r="C132" s="6" t="s">
        <v>83</v>
      </c>
      <c r="D132" s="178">
        <f t="shared" si="6"/>
        <v>0</v>
      </c>
      <c r="H132" s="6" t="s">
        <v>199</v>
      </c>
      <c r="I132" s="6" t="s">
        <v>83</v>
      </c>
      <c r="J132" s="178">
        <v>0</v>
      </c>
      <c r="N132" s="6" t="s">
        <v>199</v>
      </c>
      <c r="O132" s="6" t="s">
        <v>83</v>
      </c>
      <c r="P132" s="178">
        <v>0</v>
      </c>
      <c r="T132" s="6" t="s">
        <v>199</v>
      </c>
      <c r="U132" s="6" t="s">
        <v>83</v>
      </c>
      <c r="V132" s="178">
        <v>0</v>
      </c>
      <c r="Z132" s="6" t="s">
        <v>199</v>
      </c>
      <c r="AA132" s="6" t="s">
        <v>83</v>
      </c>
      <c r="AB132" s="178">
        <v>0</v>
      </c>
    </row>
    <row r="133" spans="2:28" hidden="1" x14ac:dyDescent="0.25">
      <c r="B133" s="6" t="s">
        <v>190</v>
      </c>
      <c r="C133" s="6" t="s">
        <v>206</v>
      </c>
      <c r="D133" s="178">
        <f t="shared" si="6"/>
        <v>0</v>
      </c>
      <c r="H133" s="6" t="s">
        <v>190</v>
      </c>
      <c r="I133" s="6" t="s">
        <v>206</v>
      </c>
      <c r="J133" s="178">
        <v>0</v>
      </c>
      <c r="N133" s="6" t="s">
        <v>190</v>
      </c>
      <c r="O133" s="6" t="s">
        <v>206</v>
      </c>
      <c r="P133" s="178">
        <v>0</v>
      </c>
      <c r="T133" s="6" t="s">
        <v>190</v>
      </c>
      <c r="U133" s="6" t="s">
        <v>206</v>
      </c>
      <c r="V133" s="178">
        <v>0</v>
      </c>
      <c r="Z133" s="6" t="s">
        <v>190</v>
      </c>
      <c r="AA133" s="6" t="s">
        <v>206</v>
      </c>
      <c r="AB133" s="178">
        <v>0</v>
      </c>
    </row>
    <row r="134" spans="2:28" hidden="1" x14ac:dyDescent="0.25">
      <c r="B134" s="6" t="s">
        <v>207</v>
      </c>
      <c r="C134" s="6" t="s">
        <v>208</v>
      </c>
      <c r="D134" s="178">
        <f t="shared" si="6"/>
        <v>0</v>
      </c>
      <c r="H134" s="6" t="s">
        <v>207</v>
      </c>
      <c r="I134" s="6" t="s">
        <v>208</v>
      </c>
      <c r="J134" s="178">
        <v>0</v>
      </c>
      <c r="N134" s="6" t="s">
        <v>207</v>
      </c>
      <c r="O134" s="6" t="s">
        <v>208</v>
      </c>
      <c r="P134" s="178">
        <v>0</v>
      </c>
      <c r="T134" s="6" t="s">
        <v>207</v>
      </c>
      <c r="U134" s="6" t="s">
        <v>208</v>
      </c>
      <c r="V134" s="178">
        <v>0</v>
      </c>
      <c r="Z134" s="6" t="s">
        <v>207</v>
      </c>
      <c r="AA134" s="6" t="s">
        <v>208</v>
      </c>
      <c r="AB134" s="178">
        <v>0</v>
      </c>
    </row>
    <row r="135" spans="2:28" hidden="1" x14ac:dyDescent="0.25">
      <c r="B135" s="6" t="s">
        <v>209</v>
      </c>
      <c r="C135" s="6" t="s">
        <v>210</v>
      </c>
      <c r="D135" s="178">
        <f t="shared" si="6"/>
        <v>0</v>
      </c>
      <c r="H135" s="6" t="s">
        <v>209</v>
      </c>
      <c r="I135" s="6" t="s">
        <v>210</v>
      </c>
      <c r="J135" s="178">
        <v>0</v>
      </c>
      <c r="N135" s="6" t="s">
        <v>209</v>
      </c>
      <c r="O135" s="6" t="s">
        <v>210</v>
      </c>
      <c r="P135" s="178">
        <v>0</v>
      </c>
      <c r="T135" s="6" t="s">
        <v>209</v>
      </c>
      <c r="U135" s="6" t="s">
        <v>210</v>
      </c>
      <c r="V135" s="178">
        <v>0</v>
      </c>
      <c r="Z135" s="6" t="s">
        <v>209</v>
      </c>
      <c r="AA135" s="6" t="s">
        <v>210</v>
      </c>
      <c r="AB135" s="178">
        <v>0</v>
      </c>
    </row>
    <row r="136" spans="2:28" hidden="1" x14ac:dyDescent="0.25">
      <c r="B136" s="6" t="s">
        <v>211</v>
      </c>
      <c r="C136" s="6" t="s">
        <v>212</v>
      </c>
      <c r="D136" s="178">
        <f t="shared" si="6"/>
        <v>0</v>
      </c>
      <c r="H136" s="6" t="s">
        <v>211</v>
      </c>
      <c r="I136" s="6" t="s">
        <v>212</v>
      </c>
      <c r="J136" s="178">
        <v>0</v>
      </c>
      <c r="N136" s="6" t="s">
        <v>211</v>
      </c>
      <c r="O136" s="6" t="s">
        <v>212</v>
      </c>
      <c r="P136" s="178">
        <v>0</v>
      </c>
      <c r="T136" s="6" t="s">
        <v>211</v>
      </c>
      <c r="U136" s="6" t="s">
        <v>212</v>
      </c>
      <c r="V136" s="178">
        <v>0</v>
      </c>
      <c r="Z136" s="6" t="s">
        <v>211</v>
      </c>
      <c r="AA136" s="6" t="s">
        <v>212</v>
      </c>
      <c r="AB136" s="178">
        <v>0</v>
      </c>
    </row>
    <row r="137" spans="2:28" hidden="1" x14ac:dyDescent="0.25">
      <c r="B137" s="6" t="s">
        <v>213</v>
      </c>
      <c r="C137" s="6" t="s">
        <v>212</v>
      </c>
      <c r="D137" s="178">
        <f t="shared" si="6"/>
        <v>0</v>
      </c>
      <c r="H137" s="6" t="s">
        <v>213</v>
      </c>
      <c r="I137" s="6" t="s">
        <v>212</v>
      </c>
      <c r="J137" s="178">
        <v>0</v>
      </c>
      <c r="N137" s="6" t="s">
        <v>213</v>
      </c>
      <c r="O137" s="6" t="s">
        <v>212</v>
      </c>
      <c r="P137" s="178">
        <v>0</v>
      </c>
      <c r="T137" s="6" t="s">
        <v>213</v>
      </c>
      <c r="U137" s="6" t="s">
        <v>212</v>
      </c>
      <c r="V137" s="178">
        <v>0</v>
      </c>
      <c r="Z137" s="6" t="s">
        <v>213</v>
      </c>
      <c r="AA137" s="6" t="s">
        <v>212</v>
      </c>
      <c r="AB137" s="178">
        <v>0</v>
      </c>
    </row>
    <row r="138" spans="2:28" hidden="1" x14ac:dyDescent="0.25">
      <c r="B138" s="6" t="s">
        <v>214</v>
      </c>
      <c r="C138" s="6" t="s">
        <v>215</v>
      </c>
      <c r="D138" s="178">
        <f t="shared" si="6"/>
        <v>0</v>
      </c>
      <c r="H138" s="6" t="s">
        <v>214</v>
      </c>
      <c r="I138" s="6" t="s">
        <v>215</v>
      </c>
      <c r="J138" s="178">
        <v>0</v>
      </c>
      <c r="N138" s="6" t="s">
        <v>214</v>
      </c>
      <c r="O138" s="6" t="s">
        <v>215</v>
      </c>
      <c r="P138" s="178">
        <v>0</v>
      </c>
      <c r="T138" s="6" t="s">
        <v>214</v>
      </c>
      <c r="U138" s="6" t="s">
        <v>215</v>
      </c>
      <c r="V138" s="178">
        <v>0</v>
      </c>
      <c r="Z138" s="6" t="s">
        <v>214</v>
      </c>
      <c r="AA138" s="6" t="s">
        <v>215</v>
      </c>
      <c r="AB138" s="178">
        <v>0</v>
      </c>
    </row>
    <row r="139" spans="2:28" hidden="1" x14ac:dyDescent="0.25">
      <c r="B139" s="6" t="s">
        <v>216</v>
      </c>
      <c r="C139" s="6" t="s">
        <v>215</v>
      </c>
      <c r="D139" s="178">
        <f t="shared" si="6"/>
        <v>0</v>
      </c>
      <c r="H139" s="6" t="s">
        <v>216</v>
      </c>
      <c r="I139" s="6" t="s">
        <v>215</v>
      </c>
      <c r="J139" s="178">
        <v>0</v>
      </c>
      <c r="N139" s="6" t="s">
        <v>216</v>
      </c>
      <c r="O139" s="6" t="s">
        <v>215</v>
      </c>
      <c r="P139" s="178">
        <v>0</v>
      </c>
      <c r="T139" s="6" t="s">
        <v>216</v>
      </c>
      <c r="U139" s="6" t="s">
        <v>215</v>
      </c>
      <c r="V139" s="178">
        <v>0</v>
      </c>
      <c r="Z139" s="6" t="s">
        <v>216</v>
      </c>
      <c r="AA139" s="6" t="s">
        <v>215</v>
      </c>
      <c r="AB139" s="178">
        <v>0</v>
      </c>
    </row>
    <row r="140" spans="2:28" hidden="1" x14ac:dyDescent="0.25">
      <c r="B140" s="6" t="s">
        <v>217</v>
      </c>
      <c r="C140" s="6" t="s">
        <v>215</v>
      </c>
      <c r="D140" s="178">
        <f t="shared" si="6"/>
        <v>0</v>
      </c>
      <c r="H140" s="6" t="s">
        <v>217</v>
      </c>
      <c r="I140" s="6" t="s">
        <v>215</v>
      </c>
      <c r="J140" s="178">
        <v>0</v>
      </c>
      <c r="N140" s="6" t="s">
        <v>217</v>
      </c>
      <c r="O140" s="6" t="s">
        <v>215</v>
      </c>
      <c r="P140" s="178">
        <v>0</v>
      </c>
      <c r="T140" s="6" t="s">
        <v>217</v>
      </c>
      <c r="U140" s="6" t="s">
        <v>215</v>
      </c>
      <c r="V140" s="178">
        <v>0</v>
      </c>
      <c r="Z140" s="6" t="s">
        <v>217</v>
      </c>
      <c r="AA140" s="6" t="s">
        <v>215</v>
      </c>
      <c r="AB140" s="178">
        <v>0</v>
      </c>
    </row>
    <row r="141" spans="2:28" hidden="1" x14ac:dyDescent="0.25">
      <c r="B141" s="6" t="s">
        <v>218</v>
      </c>
      <c r="C141" s="6" t="s">
        <v>215</v>
      </c>
      <c r="D141" s="178">
        <f t="shared" si="6"/>
        <v>0</v>
      </c>
      <c r="H141" s="6" t="s">
        <v>218</v>
      </c>
      <c r="I141" s="6" t="s">
        <v>215</v>
      </c>
      <c r="J141" s="178">
        <v>0</v>
      </c>
      <c r="N141" s="6" t="s">
        <v>218</v>
      </c>
      <c r="O141" s="6" t="s">
        <v>215</v>
      </c>
      <c r="P141" s="178">
        <v>0</v>
      </c>
      <c r="T141" s="6" t="s">
        <v>218</v>
      </c>
      <c r="U141" s="6" t="s">
        <v>215</v>
      </c>
      <c r="V141" s="178">
        <v>0</v>
      </c>
      <c r="Z141" s="6" t="s">
        <v>218</v>
      </c>
      <c r="AA141" s="6" t="s">
        <v>215</v>
      </c>
      <c r="AB141" s="178">
        <v>0</v>
      </c>
    </row>
    <row r="142" spans="2:28" hidden="1" x14ac:dyDescent="0.25">
      <c r="B142" s="6" t="s">
        <v>219</v>
      </c>
      <c r="C142" s="6" t="s">
        <v>212</v>
      </c>
      <c r="D142" s="178">
        <f t="shared" si="6"/>
        <v>0</v>
      </c>
      <c r="H142" s="6" t="s">
        <v>219</v>
      </c>
      <c r="I142" s="6" t="s">
        <v>212</v>
      </c>
      <c r="J142" s="178">
        <v>0</v>
      </c>
      <c r="N142" s="6" t="s">
        <v>219</v>
      </c>
      <c r="O142" s="6" t="s">
        <v>212</v>
      </c>
      <c r="P142" s="178">
        <v>2.3754460000000002</v>
      </c>
      <c r="T142" s="6" t="s">
        <v>219</v>
      </c>
      <c r="U142" s="6" t="s">
        <v>212</v>
      </c>
      <c r="V142" s="178">
        <v>0</v>
      </c>
      <c r="Z142" s="6" t="s">
        <v>219</v>
      </c>
      <c r="AA142" s="6" t="s">
        <v>212</v>
      </c>
      <c r="AB142" s="178">
        <v>0</v>
      </c>
    </row>
    <row r="143" spans="2:28" hidden="1" x14ac:dyDescent="0.25">
      <c r="B143" s="15" t="s">
        <v>220</v>
      </c>
      <c r="C143" s="15" t="s">
        <v>215</v>
      </c>
      <c r="D143" s="179">
        <f t="shared" si="6"/>
        <v>0</v>
      </c>
      <c r="H143" s="15" t="s">
        <v>220</v>
      </c>
      <c r="I143" s="15" t="s">
        <v>215</v>
      </c>
      <c r="J143" s="179">
        <v>0</v>
      </c>
      <c r="N143" s="15" t="s">
        <v>220</v>
      </c>
      <c r="O143" s="15" t="s">
        <v>215</v>
      </c>
      <c r="P143" s="179">
        <v>0</v>
      </c>
      <c r="T143" s="15" t="s">
        <v>220</v>
      </c>
      <c r="U143" s="15" t="s">
        <v>215</v>
      </c>
      <c r="V143" s="179">
        <v>2.3754460000000002</v>
      </c>
      <c r="Z143" s="15" t="s">
        <v>220</v>
      </c>
      <c r="AA143" s="15" t="s">
        <v>215</v>
      </c>
      <c r="AB143" s="179">
        <v>2.3754460000000002</v>
      </c>
    </row>
    <row r="144" spans="2:28" hidden="1" x14ac:dyDescent="0.25">
      <c r="B144" s="6" t="s">
        <v>221</v>
      </c>
      <c r="C144" s="6" t="s">
        <v>215</v>
      </c>
      <c r="D144" s="178">
        <f t="shared" si="6"/>
        <v>0</v>
      </c>
      <c r="H144" s="6" t="s">
        <v>221</v>
      </c>
      <c r="I144" s="6" t="s">
        <v>215</v>
      </c>
      <c r="J144" s="178">
        <v>0</v>
      </c>
      <c r="N144" s="6" t="s">
        <v>221</v>
      </c>
      <c r="O144" s="6" t="s">
        <v>215</v>
      </c>
      <c r="P144" s="178">
        <v>0</v>
      </c>
      <c r="T144" s="6" t="s">
        <v>221</v>
      </c>
      <c r="U144" s="6" t="s">
        <v>215</v>
      </c>
      <c r="V144" s="178">
        <v>0</v>
      </c>
      <c r="Z144" s="6" t="s">
        <v>221</v>
      </c>
      <c r="AA144" s="6" t="s">
        <v>215</v>
      </c>
      <c r="AB144" s="178">
        <v>0</v>
      </c>
    </row>
    <row r="145" spans="2:28" hidden="1" x14ac:dyDescent="0.25">
      <c r="B145" s="6" t="s">
        <v>222</v>
      </c>
      <c r="C145" s="6" t="s">
        <v>215</v>
      </c>
      <c r="D145" s="178">
        <f t="shared" si="6"/>
        <v>0</v>
      </c>
      <c r="H145" s="6" t="s">
        <v>222</v>
      </c>
      <c r="I145" s="6" t="s">
        <v>215</v>
      </c>
      <c r="J145" s="178">
        <v>0</v>
      </c>
      <c r="N145" s="6" t="s">
        <v>222</v>
      </c>
      <c r="O145" s="6" t="s">
        <v>215</v>
      </c>
      <c r="P145" s="178">
        <v>0</v>
      </c>
      <c r="T145" s="6" t="s">
        <v>222</v>
      </c>
      <c r="U145" s="6" t="s">
        <v>215</v>
      </c>
      <c r="V145" s="178">
        <v>0</v>
      </c>
      <c r="Z145" s="6" t="s">
        <v>222</v>
      </c>
      <c r="AA145" s="6" t="s">
        <v>215</v>
      </c>
      <c r="AB145" s="178">
        <v>0</v>
      </c>
    </row>
    <row r="146" spans="2:28" hidden="1" x14ac:dyDescent="0.25">
      <c r="B146" s="6" t="s">
        <v>223</v>
      </c>
      <c r="C146" s="6" t="s">
        <v>215</v>
      </c>
      <c r="D146" s="178">
        <f t="shared" si="6"/>
        <v>0</v>
      </c>
      <c r="H146" s="6" t="s">
        <v>223</v>
      </c>
      <c r="I146" s="6" t="s">
        <v>215</v>
      </c>
      <c r="J146" s="178">
        <v>0</v>
      </c>
      <c r="N146" s="6" t="s">
        <v>223</v>
      </c>
      <c r="O146" s="6" t="s">
        <v>215</v>
      </c>
      <c r="P146" s="178">
        <v>0</v>
      </c>
      <c r="T146" s="6" t="s">
        <v>223</v>
      </c>
      <c r="U146" s="6" t="s">
        <v>215</v>
      </c>
      <c r="V146" s="178">
        <v>0</v>
      </c>
      <c r="Z146" s="6" t="s">
        <v>223</v>
      </c>
      <c r="AA146" s="6" t="s">
        <v>215</v>
      </c>
      <c r="AB146" s="178">
        <v>0</v>
      </c>
    </row>
    <row r="147" spans="2:28" hidden="1" x14ac:dyDescent="0.25">
      <c r="B147" s="6" t="s">
        <v>224</v>
      </c>
      <c r="C147" s="6" t="s">
        <v>212</v>
      </c>
      <c r="D147" s="178">
        <f t="shared" si="6"/>
        <v>0</v>
      </c>
      <c r="H147" s="6" t="s">
        <v>224</v>
      </c>
      <c r="I147" s="6" t="s">
        <v>212</v>
      </c>
      <c r="J147" s="178">
        <v>0</v>
      </c>
      <c r="N147" s="6" t="s">
        <v>224</v>
      </c>
      <c r="O147" s="6" t="s">
        <v>212</v>
      </c>
      <c r="P147" s="178">
        <v>0</v>
      </c>
      <c r="T147" s="6" t="s">
        <v>224</v>
      </c>
      <c r="U147" s="6" t="s">
        <v>212</v>
      </c>
      <c r="V147" s="178">
        <v>0</v>
      </c>
      <c r="Z147" s="6" t="s">
        <v>224</v>
      </c>
      <c r="AA147" s="6" t="s">
        <v>212</v>
      </c>
      <c r="AB147" s="178">
        <v>0</v>
      </c>
    </row>
    <row r="148" spans="2:28" hidden="1" x14ac:dyDescent="0.25"/>
    <row r="149" spans="2:28" hidden="1" x14ac:dyDescent="0.25"/>
    <row r="150" spans="2:28" hidden="1" x14ac:dyDescent="0.25"/>
    <row r="151" spans="2:28" hidden="1" x14ac:dyDescent="0.25"/>
    <row r="152" spans="2:28" hidden="1" x14ac:dyDescent="0.25"/>
    <row r="153" spans="2:28" hidden="1" x14ac:dyDescent="0.25"/>
    <row r="154" spans="2:28" hidden="1" x14ac:dyDescent="0.25"/>
    <row r="155" spans="2:28" hidden="1" x14ac:dyDescent="0.25"/>
    <row r="156" spans="2:28" hidden="1" x14ac:dyDescent="0.25"/>
    <row r="157" spans="2:28" ht="16.5" hidden="1" thickBot="1" x14ac:dyDescent="0.3">
      <c r="B157" s="16"/>
      <c r="C157" s="16"/>
      <c r="D157" s="181"/>
      <c r="H157" s="16"/>
      <c r="I157" s="16"/>
      <c r="J157" s="181"/>
      <c r="N157" s="16"/>
      <c r="O157" s="16"/>
      <c r="P157" s="181"/>
      <c r="T157" s="16"/>
      <c r="U157" s="16"/>
      <c r="V157" s="181"/>
      <c r="Z157" s="16"/>
      <c r="AA157" s="16"/>
      <c r="AB157" s="181"/>
    </row>
    <row r="158" spans="2:28" hidden="1" x14ac:dyDescent="0.25"/>
  </sheetData>
  <sheetProtection algorithmName="SHA-512" hashValue="Gu+48bhMUYOfh3ugd9JC1LmWqt/GfdPdxZRZEve9rW34E+HZptQFzDeGcK3WCpDVJR1udvFbG7dC9YixnaQ+Zw==" saltValue="5MvzyZmK1DkM6eK5WPj4ZQ==" spinCount="100000" sheet="1" objects="1" scenarios="1"/>
  <sortState xmlns:xlrd2="http://schemas.microsoft.com/office/spreadsheetml/2017/richdata2" ref="A6:E19">
    <sortCondition descending="1" ref="C6:C19"/>
  </sortState>
  <mergeCells count="15">
    <mergeCell ref="A1:C1"/>
    <mergeCell ref="D3:E3"/>
    <mergeCell ref="D2:E2"/>
    <mergeCell ref="Y1:AA1"/>
    <mergeCell ref="AB2:AC2"/>
    <mergeCell ref="AB3:AC3"/>
    <mergeCell ref="S1:U1"/>
    <mergeCell ref="V2:W2"/>
    <mergeCell ref="V3:W3"/>
    <mergeCell ref="M1:O1"/>
    <mergeCell ref="P2:Q2"/>
    <mergeCell ref="P3:Q3"/>
    <mergeCell ref="G1:I1"/>
    <mergeCell ref="J2:K2"/>
    <mergeCell ref="J3: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58"/>
  <sheetViews>
    <sheetView zoomScale="85" zoomScaleNormal="85" workbookViewId="0">
      <pane xSplit="1" ySplit="4" topLeftCell="B5" activePane="bottomRight" state="frozen"/>
      <selection activeCell="D1" sqref="D1:D1048576"/>
      <selection pane="topRight" activeCell="D1" sqref="D1:D1048576"/>
      <selection pane="bottomLeft" activeCell="D1" sqref="D1:D1048576"/>
      <selection pane="bottomRight" activeCell="D1" sqref="D1:D1048576"/>
    </sheetView>
  </sheetViews>
  <sheetFormatPr defaultRowHeight="15.75" x14ac:dyDescent="0.25"/>
  <cols>
    <col min="1" max="1" width="10.77734375" style="5" customWidth="1"/>
    <col min="2" max="2" width="27.77734375" style="6" customWidth="1"/>
    <col min="3" max="3" width="12.77734375" style="6" customWidth="1"/>
    <col min="4" max="4" width="12.77734375" style="178" customWidth="1"/>
    <col min="5" max="5" width="14.77734375" style="178" customWidth="1"/>
    <col min="7" max="7" width="10.77734375" style="5" customWidth="1"/>
    <col min="8" max="8" width="27.77734375" style="6" customWidth="1"/>
    <col min="9" max="9" width="12.77734375" style="6" customWidth="1"/>
    <col min="10" max="10" width="12.77734375" style="178" customWidth="1"/>
    <col min="11" max="11" width="14.77734375" style="178" customWidth="1"/>
    <col min="13" max="13" width="10.77734375" style="5" customWidth="1"/>
    <col min="14" max="14" width="27.77734375" style="6" customWidth="1"/>
    <col min="15" max="15" width="12.77734375" style="6" customWidth="1"/>
    <col min="16" max="16" width="12.77734375" style="178" customWidth="1"/>
    <col min="17" max="17" width="14.77734375" style="178" customWidth="1"/>
    <col min="19" max="19" width="10.77734375" style="5" customWidth="1"/>
    <col min="20" max="20" width="27.77734375" style="6" customWidth="1"/>
    <col min="21" max="21" width="12.77734375" style="6" customWidth="1"/>
    <col min="22" max="22" width="12.77734375" style="178" customWidth="1"/>
    <col min="23" max="23" width="14.77734375" style="178" customWidth="1"/>
    <col min="25" max="25" width="10.77734375" style="5" customWidth="1"/>
    <col min="26" max="26" width="27.77734375" style="6" customWidth="1"/>
    <col min="27" max="27" width="12.77734375" style="6" customWidth="1"/>
    <col min="28" max="28" width="12.77734375" style="178" customWidth="1"/>
    <col min="29" max="29" width="14.77734375" style="178" customWidth="1"/>
  </cols>
  <sheetData>
    <row r="1" spans="1:29" ht="19.5" thickTop="1" thickBot="1" x14ac:dyDescent="0.3">
      <c r="A1" s="272" t="s">
        <v>262</v>
      </c>
      <c r="B1" s="273"/>
      <c r="C1" s="274"/>
      <c r="D1" s="193">
        <v>44516</v>
      </c>
      <c r="G1" s="272" t="s">
        <v>304</v>
      </c>
      <c r="H1" s="273"/>
      <c r="I1" s="274"/>
      <c r="J1" s="193">
        <v>44483</v>
      </c>
      <c r="M1" s="272" t="s">
        <v>304</v>
      </c>
      <c r="N1" s="273"/>
      <c r="O1" s="274"/>
      <c r="P1" s="193">
        <v>44453</v>
      </c>
      <c r="S1" s="272" t="s">
        <v>304</v>
      </c>
      <c r="T1" s="273"/>
      <c r="U1" s="274"/>
      <c r="V1" s="193">
        <v>44391</v>
      </c>
      <c r="Y1" s="272" t="s">
        <v>304</v>
      </c>
      <c r="Z1" s="273"/>
      <c r="AA1" s="274"/>
      <c r="AB1" s="193">
        <v>44326</v>
      </c>
    </row>
    <row r="2" spans="1:29" ht="17.25" thickTop="1" thickBot="1" x14ac:dyDescent="0.3">
      <c r="A2"/>
      <c r="B2" s="5"/>
      <c r="C2" s="38"/>
      <c r="D2" s="275" t="s">
        <v>228</v>
      </c>
      <c r="E2" s="276"/>
      <c r="G2"/>
      <c r="H2" s="5"/>
      <c r="I2" s="38"/>
      <c r="J2" s="275" t="s">
        <v>296</v>
      </c>
      <c r="K2" s="276"/>
      <c r="M2"/>
      <c r="N2" s="5"/>
      <c r="O2" s="38"/>
      <c r="P2" s="275" t="s">
        <v>296</v>
      </c>
      <c r="Q2" s="276"/>
      <c r="S2"/>
      <c r="T2" s="5"/>
      <c r="U2" s="38"/>
      <c r="V2" s="275" t="s">
        <v>296</v>
      </c>
      <c r="W2" s="276"/>
      <c r="Y2"/>
      <c r="Z2" s="5"/>
      <c r="AA2" s="38"/>
      <c r="AB2" s="275" t="s">
        <v>296</v>
      </c>
      <c r="AC2" s="276"/>
    </row>
    <row r="3" spans="1:29" ht="16.5" thickBot="1" x14ac:dyDescent="0.3">
      <c r="A3"/>
      <c r="B3" s="7"/>
      <c r="C3" s="38"/>
      <c r="D3" s="277" t="s">
        <v>250</v>
      </c>
      <c r="E3" s="278"/>
      <c r="G3"/>
      <c r="H3" s="7"/>
      <c r="I3" s="38"/>
      <c r="J3" s="277" t="s">
        <v>297</v>
      </c>
      <c r="K3" s="278"/>
      <c r="M3"/>
      <c r="N3" s="7"/>
      <c r="O3" s="38"/>
      <c r="P3" s="277" t="s">
        <v>297</v>
      </c>
      <c r="Q3" s="278"/>
      <c r="S3"/>
      <c r="T3" s="7"/>
      <c r="U3" s="38"/>
      <c r="V3" s="277" t="s">
        <v>297</v>
      </c>
      <c r="W3" s="278"/>
      <c r="Y3"/>
      <c r="Z3" s="7"/>
      <c r="AA3" s="38"/>
      <c r="AB3" s="277" t="s">
        <v>297</v>
      </c>
      <c r="AC3" s="278"/>
    </row>
    <row r="4" spans="1:29" ht="31.5" x14ac:dyDescent="0.25">
      <c r="A4" s="3" t="s">
        <v>0</v>
      </c>
      <c r="B4" s="3" t="s">
        <v>1</v>
      </c>
      <c r="C4" s="4" t="s">
        <v>2</v>
      </c>
      <c r="D4" s="4" t="s">
        <v>3</v>
      </c>
      <c r="E4" s="4" t="s">
        <v>4</v>
      </c>
      <c r="G4" s="3" t="s">
        <v>0</v>
      </c>
      <c r="H4" s="3" t="s">
        <v>1</v>
      </c>
      <c r="I4" s="4" t="s">
        <v>298</v>
      </c>
      <c r="J4" s="4" t="s">
        <v>299</v>
      </c>
      <c r="K4" s="4" t="s">
        <v>300</v>
      </c>
      <c r="M4" s="3" t="s">
        <v>0</v>
      </c>
      <c r="N4" s="3" t="s">
        <v>1</v>
      </c>
      <c r="O4" s="4" t="s">
        <v>298</v>
      </c>
      <c r="P4" s="4" t="s">
        <v>299</v>
      </c>
      <c r="Q4" s="4" t="s">
        <v>300</v>
      </c>
      <c r="S4" s="3" t="s">
        <v>0</v>
      </c>
      <c r="T4" s="3" t="s">
        <v>1</v>
      </c>
      <c r="U4" s="4" t="s">
        <v>298</v>
      </c>
      <c r="V4" s="4" t="s">
        <v>299</v>
      </c>
      <c r="W4" s="4" t="s">
        <v>300</v>
      </c>
      <c r="Y4" s="3" t="s">
        <v>0</v>
      </c>
      <c r="Z4" s="3" t="s">
        <v>1</v>
      </c>
      <c r="AA4" s="4" t="s">
        <v>298</v>
      </c>
      <c r="AB4" s="4" t="s">
        <v>299</v>
      </c>
      <c r="AC4" s="4"/>
    </row>
    <row r="5" spans="1:29" x14ac:dyDescent="0.25">
      <c r="B5" s="6" t="s">
        <v>5</v>
      </c>
      <c r="C5" s="8"/>
      <c r="D5" s="8"/>
      <c r="E5" s="10"/>
      <c r="H5" s="6" t="s">
        <v>5</v>
      </c>
      <c r="I5" s="8"/>
      <c r="J5" s="8"/>
      <c r="K5" s="10"/>
      <c r="N5" s="6" t="s">
        <v>5</v>
      </c>
      <c r="O5" s="8"/>
      <c r="P5" s="8"/>
      <c r="Q5" s="10"/>
      <c r="T5" s="6" t="s">
        <v>5</v>
      </c>
      <c r="U5" s="8"/>
      <c r="V5" s="8"/>
      <c r="W5" s="10"/>
      <c r="Z5" s="6" t="s">
        <v>5</v>
      </c>
      <c r="AA5" s="8"/>
      <c r="AB5" s="8"/>
      <c r="AC5" s="10"/>
    </row>
    <row r="6" spans="1:29" x14ac:dyDescent="0.25">
      <c r="A6" s="5">
        <v>11132</v>
      </c>
      <c r="B6" s="6" t="s">
        <v>16</v>
      </c>
      <c r="C6" s="8">
        <f t="shared" ref="C6:C21" si="0">D6*10</f>
        <v>518.67570000000001</v>
      </c>
      <c r="D6" s="8">
        <f t="shared" ref="D6:D21" si="1">IFERROR(VLOOKUP(A6,raw_1,5,FALSE),0)</f>
        <v>51.867570000000001</v>
      </c>
      <c r="E6" s="10">
        <f t="shared" ref="E6:E21" si="2">IF(ISNA(VLOOKUP(B6,RMP_MFH,2,FALSE)),"N/A",VLOOKUP(B6,RMP_MFH,2,FALSE))</f>
        <v>404</v>
      </c>
      <c r="G6" s="5">
        <v>11132</v>
      </c>
      <c r="H6" s="6" t="s">
        <v>16</v>
      </c>
      <c r="I6" s="8">
        <v>427.58052999999995</v>
      </c>
      <c r="J6" s="8">
        <v>42.758052999999997</v>
      </c>
      <c r="K6" s="10">
        <v>401</v>
      </c>
      <c r="M6" s="5">
        <v>10020</v>
      </c>
      <c r="N6" s="6" t="s">
        <v>17</v>
      </c>
      <c r="O6" s="8">
        <v>409.5</v>
      </c>
      <c r="P6" s="8">
        <v>40.950000000000003</v>
      </c>
      <c r="Q6" s="10">
        <v>395</v>
      </c>
      <c r="S6" s="5">
        <v>14320</v>
      </c>
      <c r="T6" s="6" t="s">
        <v>269</v>
      </c>
      <c r="U6" s="8">
        <v>553.36855000000003</v>
      </c>
      <c r="V6" s="8">
        <v>55.336855</v>
      </c>
      <c r="W6" s="10">
        <v>404</v>
      </c>
      <c r="Y6" s="5">
        <v>14320</v>
      </c>
      <c r="Z6" s="6" t="s">
        <v>269</v>
      </c>
      <c r="AA6" s="8">
        <v>609.82096999999999</v>
      </c>
      <c r="AB6" s="8">
        <v>60.982097000000003</v>
      </c>
      <c r="AC6" s="10">
        <v>343.86</v>
      </c>
    </row>
    <row r="7" spans="1:29" x14ac:dyDescent="0.25">
      <c r="A7" s="5">
        <v>22964</v>
      </c>
      <c r="B7" s="6" t="s">
        <v>270</v>
      </c>
      <c r="C7" s="8">
        <f t="shared" si="0"/>
        <v>244</v>
      </c>
      <c r="D7" s="8">
        <f t="shared" si="1"/>
        <v>24.4</v>
      </c>
      <c r="E7" s="10">
        <f t="shared" si="2"/>
        <v>422</v>
      </c>
      <c r="G7" s="5">
        <v>22964</v>
      </c>
      <c r="H7" s="6" t="s">
        <v>270</v>
      </c>
      <c r="I7" s="8">
        <v>186</v>
      </c>
      <c r="J7" s="8">
        <v>18.600000000000001</v>
      </c>
      <c r="K7" s="10">
        <v>395</v>
      </c>
      <c r="M7" s="5">
        <v>14320</v>
      </c>
      <c r="N7" s="6" t="s">
        <v>269</v>
      </c>
      <c r="O7" s="8">
        <v>335</v>
      </c>
      <c r="P7" s="8">
        <v>33.5</v>
      </c>
      <c r="Q7" s="10">
        <v>418</v>
      </c>
      <c r="S7" s="5">
        <v>22964</v>
      </c>
      <c r="T7" s="6" t="s">
        <v>270</v>
      </c>
      <c r="U7" s="8">
        <v>197</v>
      </c>
      <c r="V7" s="8">
        <v>19.7</v>
      </c>
      <c r="W7" s="10">
        <v>380</v>
      </c>
      <c r="Y7" s="5">
        <v>22964</v>
      </c>
      <c r="Z7" s="6" t="s">
        <v>270</v>
      </c>
      <c r="AA7" s="8">
        <v>217</v>
      </c>
      <c r="AB7" s="8">
        <v>21.7</v>
      </c>
      <c r="AC7" s="10">
        <v>285</v>
      </c>
    </row>
    <row r="8" spans="1:29" x14ac:dyDescent="0.25">
      <c r="A8" s="5">
        <v>20550</v>
      </c>
      <c r="B8" s="6" t="s">
        <v>109</v>
      </c>
      <c r="C8" s="8">
        <f t="shared" si="0"/>
        <v>100</v>
      </c>
      <c r="D8" s="8">
        <f t="shared" si="1"/>
        <v>10</v>
      </c>
      <c r="E8" s="10">
        <f t="shared" si="2"/>
        <v>450</v>
      </c>
      <c r="G8" s="5">
        <v>10020</v>
      </c>
      <c r="H8" s="6" t="s">
        <v>17</v>
      </c>
      <c r="I8" s="8">
        <v>150</v>
      </c>
      <c r="J8" s="8">
        <v>15</v>
      </c>
      <c r="K8" s="10">
        <v>424</v>
      </c>
      <c r="M8" s="5">
        <v>20550</v>
      </c>
      <c r="N8" s="6" t="s">
        <v>109</v>
      </c>
      <c r="O8" s="8">
        <v>100</v>
      </c>
      <c r="P8" s="8">
        <v>10</v>
      </c>
      <c r="Q8" s="10">
        <v>392</v>
      </c>
      <c r="S8" s="5">
        <v>20550</v>
      </c>
      <c r="T8" s="6" t="s">
        <v>109</v>
      </c>
      <c r="U8" s="8">
        <v>100</v>
      </c>
      <c r="V8" s="8">
        <v>10</v>
      </c>
      <c r="W8" s="10">
        <v>386</v>
      </c>
      <c r="Y8" s="5">
        <v>40004</v>
      </c>
      <c r="Z8" s="6" t="s">
        <v>15</v>
      </c>
      <c r="AA8" s="8">
        <v>138.17902999999998</v>
      </c>
      <c r="AB8" s="8">
        <v>13.817902999999999</v>
      </c>
      <c r="AC8" s="10">
        <v>366.17</v>
      </c>
    </row>
    <row r="9" spans="1:29" x14ac:dyDescent="0.25">
      <c r="A9" s="5">
        <v>42120</v>
      </c>
      <c r="B9" s="6" t="s">
        <v>272</v>
      </c>
      <c r="C9" s="8">
        <f t="shared" si="0"/>
        <v>55</v>
      </c>
      <c r="D9" s="8">
        <f t="shared" si="1"/>
        <v>5.5</v>
      </c>
      <c r="E9" s="10">
        <f t="shared" si="2"/>
        <v>618</v>
      </c>
      <c r="G9" s="5">
        <v>20550</v>
      </c>
      <c r="H9" s="6" t="s">
        <v>109</v>
      </c>
      <c r="I9" s="8">
        <v>100</v>
      </c>
      <c r="J9" s="8">
        <v>10</v>
      </c>
      <c r="K9" s="10">
        <v>419</v>
      </c>
      <c r="M9" s="5">
        <v>40060</v>
      </c>
      <c r="N9" s="6" t="s">
        <v>112</v>
      </c>
      <c r="O9" s="8">
        <v>100</v>
      </c>
      <c r="P9" s="8">
        <v>10</v>
      </c>
      <c r="Q9" s="10">
        <v>390</v>
      </c>
      <c r="S9" s="5">
        <v>40004</v>
      </c>
      <c r="T9" s="6" t="s">
        <v>15</v>
      </c>
      <c r="U9" s="8">
        <v>117.18145</v>
      </c>
      <c r="V9" s="8">
        <v>11.718145</v>
      </c>
      <c r="W9" s="10">
        <v>490</v>
      </c>
      <c r="Y9" s="5">
        <v>60080</v>
      </c>
      <c r="Z9" s="6" t="s">
        <v>273</v>
      </c>
      <c r="AA9" s="8">
        <v>13.5</v>
      </c>
      <c r="AB9" s="8">
        <v>1.35</v>
      </c>
      <c r="AC9" s="10">
        <v>132</v>
      </c>
    </row>
    <row r="10" spans="1:29" x14ac:dyDescent="0.25">
      <c r="A10" s="5">
        <v>40060</v>
      </c>
      <c r="B10" s="6" t="s">
        <v>112</v>
      </c>
      <c r="C10" s="8">
        <f t="shared" si="0"/>
        <v>50</v>
      </c>
      <c r="D10" s="8">
        <f t="shared" si="1"/>
        <v>5</v>
      </c>
      <c r="E10" s="10">
        <f t="shared" si="2"/>
        <v>457</v>
      </c>
      <c r="G10" s="5">
        <v>42120</v>
      </c>
      <c r="H10" s="6" t="s">
        <v>272</v>
      </c>
      <c r="I10" s="8">
        <v>54</v>
      </c>
      <c r="J10" s="8">
        <v>5.4</v>
      </c>
      <c r="K10" s="10">
        <v>598</v>
      </c>
      <c r="M10" s="5">
        <v>42120</v>
      </c>
      <c r="N10" s="6" t="s">
        <v>272</v>
      </c>
      <c r="O10" s="8">
        <v>24</v>
      </c>
      <c r="P10" s="8">
        <v>2.4</v>
      </c>
      <c r="Q10" s="10">
        <v>555</v>
      </c>
      <c r="S10" s="5">
        <v>60080</v>
      </c>
      <c r="T10" s="6" t="s">
        <v>273</v>
      </c>
      <c r="U10" s="8">
        <v>14</v>
      </c>
      <c r="V10" s="8">
        <v>1.4</v>
      </c>
      <c r="W10" s="10">
        <v>110</v>
      </c>
      <c r="Y10" s="5">
        <v>60700</v>
      </c>
      <c r="Z10" s="6" t="s">
        <v>275</v>
      </c>
      <c r="AA10" s="8">
        <v>5.5</v>
      </c>
      <c r="AB10" s="8">
        <v>0.55000000000000004</v>
      </c>
      <c r="AC10" s="10">
        <v>115</v>
      </c>
    </row>
    <row r="11" spans="1:29" x14ac:dyDescent="0.25">
      <c r="A11" s="5">
        <v>60080</v>
      </c>
      <c r="B11" s="6" t="s">
        <v>273</v>
      </c>
      <c r="C11" s="8">
        <f t="shared" si="0"/>
        <v>13</v>
      </c>
      <c r="D11" s="8">
        <f t="shared" si="1"/>
        <v>1.3</v>
      </c>
      <c r="E11" s="10">
        <f t="shared" si="2"/>
        <v>132</v>
      </c>
      <c r="G11" s="5">
        <v>40060</v>
      </c>
      <c r="H11" s="6" t="s">
        <v>112</v>
      </c>
      <c r="I11" s="8">
        <v>50</v>
      </c>
      <c r="J11" s="8">
        <v>5</v>
      </c>
      <c r="K11" s="10">
        <v>423</v>
      </c>
      <c r="M11" s="5">
        <v>60080</v>
      </c>
      <c r="N11" s="6" t="s">
        <v>273</v>
      </c>
      <c r="O11" s="8">
        <v>12.5</v>
      </c>
      <c r="P11" s="8">
        <v>1.25</v>
      </c>
      <c r="Q11" s="10">
        <v>132</v>
      </c>
      <c r="S11" s="5">
        <v>60700</v>
      </c>
      <c r="T11" s="6" t="s">
        <v>275</v>
      </c>
      <c r="U11" s="8">
        <v>4.5</v>
      </c>
      <c r="V11" s="8">
        <v>0.45</v>
      </c>
      <c r="W11" s="10">
        <v>100</v>
      </c>
      <c r="Y11" s="5">
        <v>60220</v>
      </c>
      <c r="Z11" s="6" t="s">
        <v>274</v>
      </c>
      <c r="AA11" s="8">
        <v>5.5</v>
      </c>
      <c r="AB11" s="8">
        <v>0.55000000000000004</v>
      </c>
      <c r="AC11" s="10">
        <v>970</v>
      </c>
    </row>
    <row r="12" spans="1:29" x14ac:dyDescent="0.25">
      <c r="A12" s="5">
        <v>60220</v>
      </c>
      <c r="B12" s="6" t="s">
        <v>274</v>
      </c>
      <c r="C12" s="8">
        <f t="shared" si="0"/>
        <v>5</v>
      </c>
      <c r="D12" s="8">
        <f t="shared" si="1"/>
        <v>0.5</v>
      </c>
      <c r="E12" s="10">
        <f t="shared" si="2"/>
        <v>970</v>
      </c>
      <c r="G12" s="5">
        <v>60080</v>
      </c>
      <c r="H12" s="6" t="s">
        <v>273</v>
      </c>
      <c r="I12" s="8">
        <v>13</v>
      </c>
      <c r="J12" s="8">
        <v>1.3</v>
      </c>
      <c r="K12" s="10">
        <v>132</v>
      </c>
      <c r="M12" s="5">
        <v>60220</v>
      </c>
      <c r="N12" s="6" t="s">
        <v>274</v>
      </c>
      <c r="O12" s="8">
        <v>5</v>
      </c>
      <c r="P12" s="8">
        <v>0.5</v>
      </c>
      <c r="Q12" s="10">
        <v>970</v>
      </c>
      <c r="S12" s="5">
        <v>60220</v>
      </c>
      <c r="T12" s="6" t="s">
        <v>274</v>
      </c>
      <c r="U12" s="8">
        <v>4</v>
      </c>
      <c r="V12" s="8">
        <v>0.4</v>
      </c>
      <c r="W12" s="10">
        <v>950</v>
      </c>
      <c r="Y12" s="5">
        <v>66069</v>
      </c>
      <c r="Z12" s="6" t="s">
        <v>277</v>
      </c>
      <c r="AA12" s="8">
        <v>4</v>
      </c>
      <c r="AB12" s="8">
        <v>0.4</v>
      </c>
      <c r="AC12" s="10">
        <v>2050</v>
      </c>
    </row>
    <row r="13" spans="1:29" x14ac:dyDescent="0.25">
      <c r="A13" s="5">
        <v>60700</v>
      </c>
      <c r="B13" s="6" t="s">
        <v>275</v>
      </c>
      <c r="C13" s="8">
        <f t="shared" si="0"/>
        <v>5</v>
      </c>
      <c r="D13" s="8">
        <f t="shared" si="1"/>
        <v>0.5</v>
      </c>
      <c r="E13" s="10">
        <f t="shared" si="2"/>
        <v>115</v>
      </c>
      <c r="G13" s="5">
        <v>60220</v>
      </c>
      <c r="H13" s="6" t="s">
        <v>274</v>
      </c>
      <c r="I13" s="8">
        <v>5</v>
      </c>
      <c r="J13" s="8">
        <v>0.5</v>
      </c>
      <c r="K13" s="10">
        <v>1025</v>
      </c>
      <c r="M13" s="5">
        <v>60700</v>
      </c>
      <c r="N13" s="6" t="s">
        <v>275</v>
      </c>
      <c r="O13" s="8">
        <v>4.5</v>
      </c>
      <c r="P13" s="8">
        <v>0.45</v>
      </c>
      <c r="Q13" s="10">
        <v>115</v>
      </c>
      <c r="S13" s="5">
        <v>66069</v>
      </c>
      <c r="T13" s="6" t="s">
        <v>277</v>
      </c>
      <c r="U13" s="8">
        <v>4</v>
      </c>
      <c r="V13" s="8">
        <v>0.4</v>
      </c>
      <c r="W13" s="10">
        <v>2050</v>
      </c>
      <c r="Y13" s="5">
        <v>91000</v>
      </c>
      <c r="Z13" s="6" t="s">
        <v>278</v>
      </c>
      <c r="AA13" s="8">
        <v>3</v>
      </c>
      <c r="AB13" s="8">
        <v>0.3</v>
      </c>
      <c r="AC13" s="10">
        <v>2650</v>
      </c>
    </row>
    <row r="14" spans="1:29" x14ac:dyDescent="0.25">
      <c r="A14" s="5">
        <v>66069</v>
      </c>
      <c r="B14" s="6" t="s">
        <v>277</v>
      </c>
      <c r="C14" s="8">
        <f t="shared" si="0"/>
        <v>3.7242999999999999</v>
      </c>
      <c r="D14" s="8">
        <f t="shared" si="1"/>
        <v>0.37242999999999998</v>
      </c>
      <c r="E14" s="10">
        <f t="shared" si="2"/>
        <v>2610</v>
      </c>
      <c r="G14" s="5">
        <v>60700</v>
      </c>
      <c r="H14" s="6" t="s">
        <v>275</v>
      </c>
      <c r="I14" s="8">
        <v>5</v>
      </c>
      <c r="J14" s="8">
        <v>0.5</v>
      </c>
      <c r="K14" s="10">
        <v>115</v>
      </c>
      <c r="M14" s="5">
        <v>66069</v>
      </c>
      <c r="N14" s="6" t="s">
        <v>277</v>
      </c>
      <c r="O14" s="8">
        <v>4</v>
      </c>
      <c r="P14" s="8">
        <v>0.4</v>
      </c>
      <c r="Q14" s="10">
        <v>2195</v>
      </c>
      <c r="S14" s="5">
        <v>91000</v>
      </c>
      <c r="T14" s="6" t="s">
        <v>306</v>
      </c>
      <c r="U14" s="8">
        <v>3</v>
      </c>
      <c r="V14" s="8">
        <v>0.3</v>
      </c>
      <c r="W14" s="10">
        <v>2050</v>
      </c>
      <c r="Y14" s="5">
        <v>922557</v>
      </c>
      <c r="Z14" s="6" t="s">
        <v>282</v>
      </c>
      <c r="AA14" s="8">
        <v>1.5</v>
      </c>
      <c r="AB14" s="8">
        <v>0.15</v>
      </c>
      <c r="AC14" s="10">
        <v>7900</v>
      </c>
    </row>
    <row r="15" spans="1:29" x14ac:dyDescent="0.25">
      <c r="A15" s="5">
        <v>91000</v>
      </c>
      <c r="B15" s="6" t="s">
        <v>306</v>
      </c>
      <c r="C15" s="8">
        <f t="shared" si="0"/>
        <v>3</v>
      </c>
      <c r="D15" s="8">
        <f t="shared" si="1"/>
        <v>0.3</v>
      </c>
      <c r="E15" s="10">
        <f t="shared" si="2"/>
        <v>2650</v>
      </c>
      <c r="G15" s="5">
        <v>66069</v>
      </c>
      <c r="H15" s="6" t="s">
        <v>277</v>
      </c>
      <c r="I15" s="8">
        <v>3.8194699999999999</v>
      </c>
      <c r="J15" s="8">
        <v>0.38194699999999998</v>
      </c>
      <c r="K15" s="10">
        <v>2500</v>
      </c>
      <c r="M15" s="5">
        <v>91000</v>
      </c>
      <c r="N15" s="6" t="s">
        <v>306</v>
      </c>
      <c r="O15" s="8">
        <v>3</v>
      </c>
      <c r="P15" s="8">
        <v>0.3</v>
      </c>
      <c r="Q15" s="10">
        <v>2200</v>
      </c>
      <c r="S15" s="5">
        <v>922557</v>
      </c>
      <c r="T15" s="6" t="s">
        <v>282</v>
      </c>
      <c r="U15" s="8">
        <v>1.5</v>
      </c>
      <c r="V15" s="8">
        <v>0.15</v>
      </c>
      <c r="W15" s="10">
        <v>7800</v>
      </c>
      <c r="Y15" s="5">
        <v>66300</v>
      </c>
      <c r="Z15" s="6" t="s">
        <v>11</v>
      </c>
      <c r="AA15" s="8">
        <v>0.8</v>
      </c>
      <c r="AB15" s="8">
        <v>0.08</v>
      </c>
      <c r="AC15" s="10">
        <v>3200</v>
      </c>
    </row>
    <row r="16" spans="1:29" x14ac:dyDescent="0.25">
      <c r="A16" s="5">
        <v>922557</v>
      </c>
      <c r="B16" s="6" t="s">
        <v>282</v>
      </c>
      <c r="C16" s="8">
        <f t="shared" si="0"/>
        <v>1.5</v>
      </c>
      <c r="D16" s="8">
        <f t="shared" si="1"/>
        <v>0.15</v>
      </c>
      <c r="E16" s="10">
        <f t="shared" si="2"/>
        <v>7800</v>
      </c>
      <c r="G16" s="5">
        <v>91000</v>
      </c>
      <c r="H16" s="6" t="s">
        <v>306</v>
      </c>
      <c r="I16" s="8">
        <v>3</v>
      </c>
      <c r="J16" s="8">
        <v>0.3</v>
      </c>
      <c r="K16" s="10">
        <v>2650</v>
      </c>
      <c r="M16" s="5">
        <v>922557</v>
      </c>
      <c r="N16" s="6" t="s">
        <v>282</v>
      </c>
      <c r="O16" s="8">
        <v>1.5</v>
      </c>
      <c r="P16" s="8">
        <v>0.15</v>
      </c>
      <c r="Q16" s="10">
        <v>7800</v>
      </c>
      <c r="S16" s="5">
        <v>66300</v>
      </c>
      <c r="T16" s="6" t="s">
        <v>11</v>
      </c>
      <c r="U16" s="8">
        <v>0.44999999999999996</v>
      </c>
      <c r="V16" s="8">
        <v>4.4999999999999998E-2</v>
      </c>
      <c r="W16" s="10">
        <v>3300</v>
      </c>
      <c r="Y16" s="5">
        <v>64680</v>
      </c>
      <c r="Z16" s="6" t="s">
        <v>12</v>
      </c>
      <c r="AA16" s="8">
        <v>0.5</v>
      </c>
      <c r="AB16" s="8">
        <v>0.05</v>
      </c>
      <c r="AC16" s="10">
        <v>1720</v>
      </c>
    </row>
    <row r="17" spans="1:29" ht="16.5" customHeight="1" x14ac:dyDescent="0.25">
      <c r="A17" s="5">
        <v>64680</v>
      </c>
      <c r="B17" s="6" t="s">
        <v>12</v>
      </c>
      <c r="C17" s="8">
        <f t="shared" si="0"/>
        <v>0.5</v>
      </c>
      <c r="D17" s="8">
        <f t="shared" si="1"/>
        <v>0.05</v>
      </c>
      <c r="E17" s="10">
        <f t="shared" si="2"/>
        <v>3850</v>
      </c>
      <c r="G17" s="5">
        <v>922557</v>
      </c>
      <c r="H17" s="6" t="s">
        <v>282</v>
      </c>
      <c r="I17" s="8">
        <v>1.5</v>
      </c>
      <c r="J17" s="8">
        <v>0.15</v>
      </c>
      <c r="K17" s="10">
        <v>7800</v>
      </c>
      <c r="M17" s="5">
        <v>64680</v>
      </c>
      <c r="N17" s="6" t="s">
        <v>12</v>
      </c>
      <c r="O17" s="8">
        <v>0.5</v>
      </c>
      <c r="P17" s="8">
        <v>0.05</v>
      </c>
      <c r="Q17" s="10">
        <v>2305</v>
      </c>
      <c r="S17" s="5">
        <v>64680</v>
      </c>
      <c r="T17" s="6" t="s">
        <v>12</v>
      </c>
      <c r="U17" s="8">
        <v>0.5</v>
      </c>
      <c r="V17" s="8">
        <v>0.05</v>
      </c>
      <c r="W17" s="10">
        <v>2180</v>
      </c>
      <c r="Y17" s="5">
        <v>61800</v>
      </c>
      <c r="Z17" s="6" t="s">
        <v>116</v>
      </c>
      <c r="AA17" s="8">
        <v>0.4</v>
      </c>
      <c r="AB17" s="8">
        <v>0.04</v>
      </c>
      <c r="AC17" s="10">
        <v>4120</v>
      </c>
    </row>
    <row r="18" spans="1:29" x14ac:dyDescent="0.25">
      <c r="A18" s="5">
        <v>61800</v>
      </c>
      <c r="B18" s="6" t="s">
        <v>116</v>
      </c>
      <c r="C18" s="8">
        <f t="shared" si="0"/>
        <v>0.4</v>
      </c>
      <c r="D18" s="8">
        <f t="shared" si="1"/>
        <v>0.04</v>
      </c>
      <c r="E18" s="10">
        <f t="shared" si="2"/>
        <v>4225</v>
      </c>
      <c r="G18" s="5">
        <v>64680</v>
      </c>
      <c r="H18" s="6" t="s">
        <v>12</v>
      </c>
      <c r="I18" s="8">
        <v>0.5</v>
      </c>
      <c r="J18" s="8">
        <v>0.05</v>
      </c>
      <c r="K18" s="10">
        <v>3750</v>
      </c>
      <c r="M18" s="5">
        <v>61800</v>
      </c>
      <c r="N18" s="6" t="s">
        <v>116</v>
      </c>
      <c r="O18" s="8">
        <v>0.4</v>
      </c>
      <c r="P18" s="8">
        <v>0.04</v>
      </c>
      <c r="Q18" s="10">
        <v>4225</v>
      </c>
      <c r="S18" s="5">
        <v>61800</v>
      </c>
      <c r="T18" s="6" t="s">
        <v>116</v>
      </c>
      <c r="U18" s="8">
        <v>0.4</v>
      </c>
      <c r="V18" s="8">
        <v>0.04</v>
      </c>
      <c r="W18" s="10">
        <v>4180</v>
      </c>
      <c r="Y18" s="5">
        <v>66100</v>
      </c>
      <c r="Z18" s="6" t="s">
        <v>13</v>
      </c>
      <c r="AA18" s="8">
        <v>0.3</v>
      </c>
      <c r="AB18" s="8">
        <v>0.03</v>
      </c>
      <c r="AC18" s="10">
        <v>4525</v>
      </c>
    </row>
    <row r="19" spans="1:29" x14ac:dyDescent="0.25">
      <c r="A19" s="5">
        <v>66300</v>
      </c>
      <c r="B19" s="6" t="s">
        <v>11</v>
      </c>
      <c r="C19" s="8">
        <f t="shared" si="0"/>
        <v>0.2</v>
      </c>
      <c r="D19" s="8">
        <f t="shared" si="1"/>
        <v>0.02</v>
      </c>
      <c r="E19" s="10">
        <f t="shared" si="2"/>
        <v>4000</v>
      </c>
      <c r="G19" s="5">
        <v>61800</v>
      </c>
      <c r="H19" s="6" t="s">
        <v>116</v>
      </c>
      <c r="I19" s="8">
        <v>0.4</v>
      </c>
      <c r="J19" s="8">
        <v>0.04</v>
      </c>
      <c r="K19" s="10">
        <v>4225</v>
      </c>
      <c r="M19" s="5">
        <v>66300</v>
      </c>
      <c r="N19" s="6" t="s">
        <v>11</v>
      </c>
      <c r="O19" s="8">
        <v>0.1</v>
      </c>
      <c r="P19" s="8">
        <v>0.01</v>
      </c>
      <c r="Q19" s="10">
        <v>13750</v>
      </c>
      <c r="S19" s="5">
        <v>66100</v>
      </c>
      <c r="T19" s="6" t="s">
        <v>13</v>
      </c>
      <c r="U19" s="8">
        <v>0.1</v>
      </c>
      <c r="V19" s="8">
        <v>0.01</v>
      </c>
      <c r="W19" s="10">
        <v>4350</v>
      </c>
      <c r="AA19" s="8"/>
      <c r="AB19" s="8"/>
      <c r="AC19" s="10"/>
    </row>
    <row r="20" spans="1:29" x14ac:dyDescent="0.25">
      <c r="A20" s="5">
        <v>10020</v>
      </c>
      <c r="B20" s="6" t="s">
        <v>17</v>
      </c>
      <c r="C20" s="8">
        <f t="shared" si="0"/>
        <v>0</v>
      </c>
      <c r="D20" s="8">
        <f t="shared" si="1"/>
        <v>0</v>
      </c>
      <c r="E20" s="10">
        <f t="shared" si="2"/>
        <v>430</v>
      </c>
      <c r="G20" s="5">
        <v>66300</v>
      </c>
      <c r="H20" s="6" t="s">
        <v>11</v>
      </c>
      <c r="I20" s="8">
        <v>0.2</v>
      </c>
      <c r="J20" s="8">
        <v>0.02</v>
      </c>
      <c r="K20" s="10">
        <v>3900</v>
      </c>
      <c r="O20" s="8"/>
      <c r="P20" s="8"/>
      <c r="Q20" s="10"/>
      <c r="U20" s="8"/>
      <c r="V20" s="8"/>
      <c r="W20" s="10"/>
      <c r="AA20" s="8"/>
      <c r="AB20" s="8"/>
      <c r="AC20" s="10"/>
    </row>
    <row r="21" spans="1:29" x14ac:dyDescent="0.25">
      <c r="A21" s="5">
        <v>14320</v>
      </c>
      <c r="B21" s="6" t="s">
        <v>269</v>
      </c>
      <c r="C21" s="8">
        <f t="shared" si="0"/>
        <v>0</v>
      </c>
      <c r="D21" s="8">
        <f t="shared" si="1"/>
        <v>0</v>
      </c>
      <c r="E21" s="10">
        <f t="shared" si="2"/>
        <v>468</v>
      </c>
      <c r="G21" s="5">
        <v>14320</v>
      </c>
      <c r="H21" s="6" t="s">
        <v>269</v>
      </c>
      <c r="I21" s="8">
        <v>0</v>
      </c>
      <c r="J21" s="8">
        <v>0</v>
      </c>
      <c r="K21" s="10">
        <v>455</v>
      </c>
      <c r="O21" s="8"/>
      <c r="P21" s="8"/>
      <c r="Q21" s="10"/>
      <c r="U21" s="8"/>
      <c r="V21" s="8"/>
      <c r="W21" s="10"/>
      <c r="AA21" s="8"/>
      <c r="AB21" s="8"/>
      <c r="AC21" s="10"/>
    </row>
    <row r="22" spans="1:29" x14ac:dyDescent="0.25">
      <c r="C22" s="8"/>
      <c r="D22" s="8"/>
      <c r="E22" s="10"/>
      <c r="I22" s="8"/>
      <c r="J22" s="8"/>
      <c r="K22" s="10"/>
      <c r="O22" s="8"/>
      <c r="P22" s="8"/>
      <c r="Q22" s="10"/>
      <c r="U22" s="8"/>
      <c r="V22" s="8"/>
      <c r="W22" s="10"/>
      <c r="AA22" s="8"/>
      <c r="AB22" s="8"/>
      <c r="AC22" s="10"/>
    </row>
    <row r="23" spans="1:29" ht="16.5" thickBot="1" x14ac:dyDescent="0.3">
      <c r="B23" s="11" t="s">
        <v>6</v>
      </c>
      <c r="C23" s="12">
        <f>SUM(C6:C22)</f>
        <v>1000</v>
      </c>
      <c r="D23" s="12">
        <f>SUM(D6:D22)</f>
        <v>100</v>
      </c>
      <c r="E23" s="37">
        <f>SUMPRODUCT(C6:C22,E6:E22/1000)</f>
        <v>455.27940580000006</v>
      </c>
      <c r="H23" s="11" t="s">
        <v>6</v>
      </c>
      <c r="I23" s="12">
        <v>1000</v>
      </c>
      <c r="J23" s="12">
        <v>100</v>
      </c>
      <c r="K23" s="37">
        <v>444.83146752999994</v>
      </c>
      <c r="N23" s="11" t="s">
        <v>6</v>
      </c>
      <c r="O23" s="12">
        <v>1000</v>
      </c>
      <c r="P23" s="12">
        <v>100.00000000000003</v>
      </c>
      <c r="Q23" s="37">
        <v>431.61749999999995</v>
      </c>
      <c r="T23" s="11" t="s">
        <v>6</v>
      </c>
      <c r="U23" s="12">
        <v>1000.0000000000001</v>
      </c>
      <c r="V23" s="12">
        <v>100.00000000000003</v>
      </c>
      <c r="W23" s="37">
        <v>430.96180470000002</v>
      </c>
      <c r="Z23" s="11" t="s">
        <v>6</v>
      </c>
      <c r="AA23" s="12">
        <v>999.99999999999989</v>
      </c>
      <c r="AB23" s="12">
        <v>100</v>
      </c>
      <c r="AC23" s="37">
        <v>364.31005415930002</v>
      </c>
    </row>
    <row r="24" spans="1:29" x14ac:dyDescent="0.25">
      <c r="C24"/>
      <c r="D24"/>
      <c r="E24" s="201">
        <f>E23-K23</f>
        <v>10.447938270000122</v>
      </c>
      <c r="I24"/>
      <c r="J24"/>
      <c r="K24" s="201">
        <v>13.213967529999991</v>
      </c>
      <c r="O24"/>
      <c r="P24"/>
      <c r="Q24" s="201">
        <v>0.65569529999993392</v>
      </c>
      <c r="U24"/>
      <c r="V24"/>
      <c r="W24" s="201"/>
      <c r="AA24"/>
      <c r="AB24"/>
      <c r="AC24" s="201"/>
    </row>
    <row r="25" spans="1:29" ht="16.5" thickBot="1" x14ac:dyDescent="0.3">
      <c r="C25"/>
      <c r="D25"/>
      <c r="E25"/>
      <c r="I25"/>
      <c r="J25"/>
      <c r="K25"/>
      <c r="O25"/>
      <c r="P25"/>
      <c r="Q25"/>
      <c r="U25"/>
      <c r="V25"/>
      <c r="W25"/>
      <c r="AA25"/>
      <c r="AB25"/>
      <c r="AC25"/>
    </row>
    <row r="26" spans="1:29" x14ac:dyDescent="0.25">
      <c r="B26" s="14" t="s">
        <v>7</v>
      </c>
      <c r="C26" s="14" t="s">
        <v>8</v>
      </c>
      <c r="D26" s="14" t="s">
        <v>9</v>
      </c>
      <c r="E26"/>
      <c r="H26" s="14" t="s">
        <v>7</v>
      </c>
      <c r="I26" s="14" t="s">
        <v>8</v>
      </c>
      <c r="J26" s="14" t="s">
        <v>9</v>
      </c>
      <c r="K26"/>
      <c r="N26" s="14" t="s">
        <v>7</v>
      </c>
      <c r="O26" s="14" t="s">
        <v>8</v>
      </c>
      <c r="P26" s="14" t="s">
        <v>9</v>
      </c>
      <c r="Q26"/>
      <c r="T26" s="14" t="s">
        <v>7</v>
      </c>
      <c r="U26" s="14" t="s">
        <v>8</v>
      </c>
      <c r="V26" s="14" t="s">
        <v>9</v>
      </c>
      <c r="W26"/>
      <c r="Z26" s="14" t="s">
        <v>7</v>
      </c>
      <c r="AA26" s="14" t="s">
        <v>8</v>
      </c>
      <c r="AB26" s="14" t="s">
        <v>9</v>
      </c>
      <c r="AC26"/>
    </row>
    <row r="27" spans="1:29" x14ac:dyDescent="0.25">
      <c r="B27" s="6" t="s">
        <v>18</v>
      </c>
      <c r="C27" s="6" t="s">
        <v>19</v>
      </c>
      <c r="D27" s="178">
        <f t="shared" ref="D27:D58" si="3">IFERROR(VLOOKUP(B27,raw_2,4,FALSE),0)</f>
        <v>100</v>
      </c>
      <c r="H27" s="6" t="s">
        <v>18</v>
      </c>
      <c r="I27" s="6" t="s">
        <v>19</v>
      </c>
      <c r="J27" s="178">
        <v>100</v>
      </c>
      <c r="N27" s="6" t="s">
        <v>18</v>
      </c>
      <c r="O27" s="6" t="s">
        <v>19</v>
      </c>
      <c r="P27" s="178">
        <v>100</v>
      </c>
      <c r="T27" s="6" t="s">
        <v>18</v>
      </c>
      <c r="U27" s="6" t="s">
        <v>19</v>
      </c>
      <c r="V27" s="178">
        <v>100</v>
      </c>
      <c r="Z27" s="6" t="s">
        <v>18</v>
      </c>
      <c r="AA27" s="6" t="s">
        <v>19</v>
      </c>
      <c r="AB27" s="178">
        <v>100</v>
      </c>
    </row>
    <row r="28" spans="1:29" x14ac:dyDescent="0.25">
      <c r="B28" s="6" t="s">
        <v>20</v>
      </c>
      <c r="C28" s="6" t="s">
        <v>19</v>
      </c>
      <c r="D28" s="178">
        <f t="shared" si="3"/>
        <v>88.225511999999995</v>
      </c>
      <c r="H28" s="6" t="s">
        <v>20</v>
      </c>
      <c r="I28" s="6" t="s">
        <v>19</v>
      </c>
      <c r="J28" s="178">
        <v>88.139077999999998</v>
      </c>
      <c r="N28" s="6" t="s">
        <v>20</v>
      </c>
      <c r="O28" s="6" t="s">
        <v>19</v>
      </c>
      <c r="P28" s="178">
        <v>88.183000000000007</v>
      </c>
      <c r="T28" s="6" t="s">
        <v>20</v>
      </c>
      <c r="U28" s="6" t="s">
        <v>19</v>
      </c>
      <c r="V28" s="178">
        <v>88.447559999999996</v>
      </c>
      <c r="Z28" s="6" t="s">
        <v>20</v>
      </c>
      <c r="AA28" s="6" t="s">
        <v>19</v>
      </c>
      <c r="AB28" s="178">
        <v>88.362363999999999</v>
      </c>
    </row>
    <row r="29" spans="1:29" x14ac:dyDescent="0.25">
      <c r="B29" s="6" t="s">
        <v>21</v>
      </c>
      <c r="C29" s="6" t="s">
        <v>19</v>
      </c>
      <c r="D29" s="178">
        <f t="shared" si="3"/>
        <v>15.610727000000001</v>
      </c>
      <c r="H29" s="6" t="s">
        <v>21</v>
      </c>
      <c r="I29" s="6" t="s">
        <v>19</v>
      </c>
      <c r="J29" s="178">
        <v>15.445959999999999</v>
      </c>
      <c r="N29" s="6" t="s">
        <v>21</v>
      </c>
      <c r="O29" s="6" t="s">
        <v>19</v>
      </c>
      <c r="P29" s="178">
        <v>16.311640000000001</v>
      </c>
      <c r="T29" s="6" t="s">
        <v>21</v>
      </c>
      <c r="U29" s="6" t="s">
        <v>19</v>
      </c>
      <c r="V29" s="178">
        <v>16.261315</v>
      </c>
      <c r="Z29" s="6" t="s">
        <v>21</v>
      </c>
      <c r="AA29" s="6" t="s">
        <v>19</v>
      </c>
      <c r="AB29" s="178">
        <v>14.946770000000001</v>
      </c>
    </row>
    <row r="30" spans="1:29" x14ac:dyDescent="0.25">
      <c r="B30" s="6" t="s">
        <v>22</v>
      </c>
      <c r="C30" s="6" t="s">
        <v>19</v>
      </c>
      <c r="D30" s="178">
        <f t="shared" si="3"/>
        <v>4.1336680000000001</v>
      </c>
      <c r="H30" s="6" t="s">
        <v>22</v>
      </c>
      <c r="I30" s="6" t="s">
        <v>19</v>
      </c>
      <c r="J30" s="178">
        <v>3.815626</v>
      </c>
      <c r="N30" s="6" t="s">
        <v>22</v>
      </c>
      <c r="O30" s="6" t="s">
        <v>19</v>
      </c>
      <c r="P30" s="178">
        <v>2.593925</v>
      </c>
      <c r="T30" s="6" t="s">
        <v>22</v>
      </c>
      <c r="U30" s="6" t="s">
        <v>19</v>
      </c>
      <c r="V30" s="178">
        <v>2.8323670000000001</v>
      </c>
      <c r="Z30" s="6" t="s">
        <v>22</v>
      </c>
      <c r="AA30" s="6" t="s">
        <v>19</v>
      </c>
      <c r="AB30" s="178">
        <v>2.262384</v>
      </c>
    </row>
    <row r="31" spans="1:29" x14ac:dyDescent="0.25">
      <c r="B31" s="15" t="s">
        <v>23</v>
      </c>
      <c r="C31" s="15" t="s">
        <v>19</v>
      </c>
      <c r="D31" s="179">
        <f t="shared" si="3"/>
        <v>5.0173719999999999</v>
      </c>
      <c r="H31" s="15" t="s">
        <v>23</v>
      </c>
      <c r="I31" s="15" t="s">
        <v>19</v>
      </c>
      <c r="J31" s="179">
        <v>4.8487330000000002</v>
      </c>
      <c r="N31" s="15" t="s">
        <v>23</v>
      </c>
      <c r="O31" s="15" t="s">
        <v>19</v>
      </c>
      <c r="P31" s="179">
        <v>4.5000099999999996</v>
      </c>
      <c r="T31" s="15" t="s">
        <v>23</v>
      </c>
      <c r="U31" s="15" t="s">
        <v>19</v>
      </c>
      <c r="V31" s="179">
        <v>4.771414</v>
      </c>
      <c r="Z31" s="15" t="s">
        <v>23</v>
      </c>
      <c r="AA31" s="15" t="s">
        <v>19</v>
      </c>
      <c r="AB31" s="179">
        <v>4.5009220000000001</v>
      </c>
    </row>
    <row r="32" spans="1:29" x14ac:dyDescent="0.25">
      <c r="B32" s="6" t="s">
        <v>24</v>
      </c>
      <c r="C32" s="6" t="s">
        <v>19</v>
      </c>
      <c r="D32" s="178">
        <f t="shared" si="3"/>
        <v>5.2784420000000001</v>
      </c>
      <c r="H32" s="6" t="s">
        <v>24</v>
      </c>
      <c r="I32" s="6" t="s">
        <v>19</v>
      </c>
      <c r="J32" s="178">
        <v>5.240094</v>
      </c>
      <c r="N32" s="6" t="s">
        <v>24</v>
      </c>
      <c r="O32" s="6" t="s">
        <v>19</v>
      </c>
      <c r="P32" s="178">
        <v>5.1317899999999996</v>
      </c>
      <c r="T32" s="6" t="s">
        <v>24</v>
      </c>
      <c r="U32" s="6" t="s">
        <v>19</v>
      </c>
      <c r="V32" s="178">
        <v>5.089156</v>
      </c>
      <c r="Z32" s="6" t="s">
        <v>24</v>
      </c>
      <c r="AA32" s="6" t="s">
        <v>19</v>
      </c>
      <c r="AB32" s="178">
        <v>5.0163830000000003</v>
      </c>
    </row>
    <row r="33" spans="1:29" x14ac:dyDescent="0.25">
      <c r="B33" s="6" t="s">
        <v>25</v>
      </c>
      <c r="C33" s="6" t="s">
        <v>19</v>
      </c>
      <c r="D33" s="178">
        <f t="shared" si="3"/>
        <v>11.774488</v>
      </c>
      <c r="H33" s="6" t="s">
        <v>25</v>
      </c>
      <c r="I33" s="6" t="s">
        <v>19</v>
      </c>
      <c r="J33" s="178">
        <v>11.860922</v>
      </c>
      <c r="N33" s="6" t="s">
        <v>25</v>
      </c>
      <c r="O33" s="6" t="s">
        <v>19</v>
      </c>
      <c r="P33" s="178">
        <v>11.817</v>
      </c>
      <c r="T33" s="6" t="s">
        <v>25</v>
      </c>
      <c r="U33" s="6" t="s">
        <v>19</v>
      </c>
      <c r="V33" s="178">
        <v>11.552440000000001</v>
      </c>
      <c r="Z33" s="6" t="s">
        <v>25</v>
      </c>
      <c r="AA33" s="6" t="s">
        <v>19</v>
      </c>
      <c r="AB33" s="178">
        <v>11.637636000000001</v>
      </c>
    </row>
    <row r="34" spans="1:29" x14ac:dyDescent="0.25">
      <c r="B34" s="6" t="s">
        <v>178</v>
      </c>
      <c r="C34" s="6" t="s">
        <v>19</v>
      </c>
      <c r="D34" s="178">
        <f t="shared" si="3"/>
        <v>58.140183999999998</v>
      </c>
      <c r="H34" s="6" t="s">
        <v>178</v>
      </c>
      <c r="I34" s="6" t="s">
        <v>19</v>
      </c>
      <c r="J34" s="178">
        <v>58.743620999999997</v>
      </c>
      <c r="N34" s="6" t="s">
        <v>178</v>
      </c>
      <c r="O34" s="6" t="s">
        <v>19</v>
      </c>
      <c r="P34" s="178">
        <v>59.600735</v>
      </c>
      <c r="T34" s="6" t="s">
        <v>178</v>
      </c>
      <c r="U34" s="6" t="s">
        <v>19</v>
      </c>
      <c r="V34" s="178">
        <v>59.448407000000003</v>
      </c>
      <c r="Z34" s="6" t="s">
        <v>178</v>
      </c>
      <c r="AA34" s="6" t="s">
        <v>19</v>
      </c>
      <c r="AB34" s="178">
        <v>61.591005000000003</v>
      </c>
    </row>
    <row r="35" spans="1:29" x14ac:dyDescent="0.25">
      <c r="B35" s="6" t="s">
        <v>26</v>
      </c>
      <c r="C35" s="6" t="s">
        <v>19</v>
      </c>
      <c r="D35" s="178">
        <f t="shared" si="3"/>
        <v>17.879726999999999</v>
      </c>
      <c r="H35" s="6" t="s">
        <v>26</v>
      </c>
      <c r="I35" s="6" t="s">
        <v>19</v>
      </c>
      <c r="J35" s="178">
        <v>17.926938</v>
      </c>
      <c r="N35" s="6" t="s">
        <v>26</v>
      </c>
      <c r="O35" s="6" t="s">
        <v>19</v>
      </c>
      <c r="P35" s="178">
        <v>17.755749999999999</v>
      </c>
      <c r="T35" s="6" t="s">
        <v>26</v>
      </c>
      <c r="U35" s="6" t="s">
        <v>19</v>
      </c>
      <c r="V35" s="178">
        <v>17.733658999999999</v>
      </c>
      <c r="Z35" s="6" t="s">
        <v>26</v>
      </c>
      <c r="AA35" s="6" t="s">
        <v>19</v>
      </c>
      <c r="AB35" s="178">
        <v>16.348564</v>
      </c>
    </row>
    <row r="36" spans="1:29" x14ac:dyDescent="0.25">
      <c r="B36" s="6" t="s">
        <v>27</v>
      </c>
      <c r="C36" s="6" t="s">
        <v>19</v>
      </c>
      <c r="D36" s="178">
        <f t="shared" si="3"/>
        <v>6.4446950000000003</v>
      </c>
      <c r="H36" s="6" t="s">
        <v>27</v>
      </c>
      <c r="I36" s="6" t="s">
        <v>19</v>
      </c>
      <c r="J36" s="178">
        <v>6.5397600000000002</v>
      </c>
      <c r="N36" s="6" t="s">
        <v>27</v>
      </c>
      <c r="O36" s="6" t="s">
        <v>19</v>
      </c>
      <c r="P36" s="178">
        <v>6.6190600000000002</v>
      </c>
      <c r="T36" s="6" t="s">
        <v>27</v>
      </c>
      <c r="U36" s="6" t="s">
        <v>19</v>
      </c>
      <c r="V36" s="178">
        <v>6.0309090000000003</v>
      </c>
      <c r="Z36" s="6" t="s">
        <v>27</v>
      </c>
      <c r="AA36" s="6" t="s">
        <v>19</v>
      </c>
      <c r="AB36" s="178">
        <v>5.2123629999999999</v>
      </c>
    </row>
    <row r="37" spans="1:29" x14ac:dyDescent="0.25">
      <c r="B37" s="6" t="s">
        <v>179</v>
      </c>
      <c r="C37" s="6" t="s">
        <v>19</v>
      </c>
      <c r="D37" s="178">
        <f t="shared" si="3"/>
        <v>24.819364</v>
      </c>
      <c r="H37" s="6" t="s">
        <v>179</v>
      </c>
      <c r="I37" s="6" t="s">
        <v>19</v>
      </c>
      <c r="J37" s="178">
        <v>23.302119999999999</v>
      </c>
      <c r="N37" s="6" t="s">
        <v>179</v>
      </c>
      <c r="O37" s="6" t="s">
        <v>19</v>
      </c>
      <c r="P37" s="178">
        <v>17.236415000000001</v>
      </c>
      <c r="T37" s="6" t="s">
        <v>179</v>
      </c>
      <c r="U37" s="6" t="s">
        <v>19</v>
      </c>
      <c r="V37" s="178">
        <v>19.355043999999999</v>
      </c>
      <c r="Z37" s="6" t="s">
        <v>179</v>
      </c>
      <c r="AA37" s="6" t="s">
        <v>19</v>
      </c>
      <c r="AB37" s="178">
        <v>17.426601000000002</v>
      </c>
    </row>
    <row r="38" spans="1:29" x14ac:dyDescent="0.25">
      <c r="B38" s="6" t="s">
        <v>28</v>
      </c>
      <c r="C38" s="6" t="s">
        <v>19</v>
      </c>
      <c r="D38" s="178">
        <f t="shared" si="3"/>
        <v>38.825994999999999</v>
      </c>
      <c r="H38" s="6" t="s">
        <v>28</v>
      </c>
      <c r="I38" s="6" t="s">
        <v>19</v>
      </c>
      <c r="J38" s="178">
        <v>39.518853999999997</v>
      </c>
      <c r="N38" s="6" t="s">
        <v>28</v>
      </c>
      <c r="O38" s="6" t="s">
        <v>19</v>
      </c>
      <c r="P38" s="178">
        <v>40.183700000000002</v>
      </c>
      <c r="T38" s="6" t="s">
        <v>28</v>
      </c>
      <c r="U38" s="6" t="s">
        <v>19</v>
      </c>
      <c r="V38" s="178">
        <v>39.931705000000001</v>
      </c>
      <c r="Z38" s="6" t="s">
        <v>28</v>
      </c>
      <c r="AA38" s="6" t="s">
        <v>19</v>
      </c>
      <c r="AB38" s="178">
        <v>44.130009999999999</v>
      </c>
    </row>
    <row r="39" spans="1:29" x14ac:dyDescent="0.25">
      <c r="B39" s="6" t="s">
        <v>180</v>
      </c>
      <c r="C39" s="6" t="s">
        <v>19</v>
      </c>
      <c r="D39" s="178">
        <f t="shared" si="3"/>
        <v>3.219535</v>
      </c>
      <c r="H39" s="6" t="s">
        <v>180</v>
      </c>
      <c r="I39" s="6" t="s">
        <v>19</v>
      </c>
      <c r="J39" s="178">
        <v>3.0280680000000002</v>
      </c>
      <c r="N39" s="6" t="s">
        <v>180</v>
      </c>
      <c r="O39" s="6" t="s">
        <v>19</v>
      </c>
      <c r="P39" s="178">
        <v>2.7830349999999999</v>
      </c>
      <c r="T39" s="6" t="s">
        <v>180</v>
      </c>
      <c r="U39" s="6" t="s">
        <v>19</v>
      </c>
      <c r="V39" s="178">
        <v>3.173921</v>
      </c>
      <c r="Z39" s="6" t="s">
        <v>180</v>
      </c>
      <c r="AA39" s="6" t="s">
        <v>19</v>
      </c>
      <c r="AB39" s="178">
        <v>3.5307469999999999</v>
      </c>
    </row>
    <row r="40" spans="1:29" x14ac:dyDescent="0.25">
      <c r="B40" s="6" t="s">
        <v>119</v>
      </c>
      <c r="C40" s="6" t="s">
        <v>19</v>
      </c>
      <c r="D40" s="178">
        <f t="shared" si="3"/>
        <v>0</v>
      </c>
      <c r="H40" s="6" t="s">
        <v>119</v>
      </c>
      <c r="I40" s="6" t="s">
        <v>19</v>
      </c>
      <c r="J40" s="178">
        <v>0</v>
      </c>
      <c r="N40" s="6" t="s">
        <v>119</v>
      </c>
      <c r="O40" s="6" t="s">
        <v>19</v>
      </c>
      <c r="P40" s="178">
        <v>0</v>
      </c>
      <c r="T40" s="6" t="s">
        <v>119</v>
      </c>
      <c r="U40" s="6" t="s">
        <v>19</v>
      </c>
      <c r="V40" s="178">
        <v>0</v>
      </c>
      <c r="Z40" s="6" t="s">
        <v>119</v>
      </c>
      <c r="AA40" s="6" t="s">
        <v>19</v>
      </c>
      <c r="AB40" s="178">
        <v>0</v>
      </c>
    </row>
    <row r="41" spans="1:29" x14ac:dyDescent="0.25">
      <c r="B41" s="6" t="s">
        <v>29</v>
      </c>
      <c r="C41" s="6" t="s">
        <v>30</v>
      </c>
      <c r="D41" s="178">
        <f t="shared" si="3"/>
        <v>3.1274440000000001</v>
      </c>
      <c r="H41" s="6" t="s">
        <v>29</v>
      </c>
      <c r="I41" s="6" t="s">
        <v>30</v>
      </c>
      <c r="J41" s="178">
        <v>3.1329009999999999</v>
      </c>
      <c r="N41" s="6" t="s">
        <v>29</v>
      </c>
      <c r="O41" s="6" t="s">
        <v>30</v>
      </c>
      <c r="P41" s="178">
        <v>3.1785230000000002</v>
      </c>
      <c r="T41" s="6" t="s">
        <v>29</v>
      </c>
      <c r="U41" s="6" t="s">
        <v>30</v>
      </c>
      <c r="V41" s="178">
        <v>3.145883</v>
      </c>
      <c r="Z41" s="6" t="s">
        <v>29</v>
      </c>
      <c r="AA41" s="6" t="s">
        <v>30</v>
      </c>
      <c r="AB41" s="178">
        <v>3.1070869999999999</v>
      </c>
    </row>
    <row r="42" spans="1:29" x14ac:dyDescent="0.25">
      <c r="B42" s="6" t="s">
        <v>31</v>
      </c>
      <c r="C42" s="6" t="s">
        <v>30</v>
      </c>
      <c r="D42" s="178">
        <f t="shared" si="3"/>
        <v>3.0078140000000002</v>
      </c>
      <c r="H42" s="6" t="s">
        <v>31</v>
      </c>
      <c r="I42" s="6" t="s">
        <v>30</v>
      </c>
      <c r="J42" s="178">
        <v>3.0133100000000002</v>
      </c>
      <c r="N42" s="6" t="s">
        <v>31</v>
      </c>
      <c r="O42" s="6" t="s">
        <v>30</v>
      </c>
      <c r="P42" s="178">
        <v>3.050824</v>
      </c>
      <c r="T42" s="6" t="s">
        <v>31</v>
      </c>
      <c r="U42" s="6" t="s">
        <v>30</v>
      </c>
      <c r="V42" s="178">
        <v>3.0236619999999998</v>
      </c>
      <c r="Z42" s="6" t="s">
        <v>31</v>
      </c>
      <c r="AA42" s="6" t="s">
        <v>30</v>
      </c>
      <c r="AB42" s="178">
        <v>2.9873120000000002</v>
      </c>
    </row>
    <row r="43" spans="1:29" x14ac:dyDescent="0.25">
      <c r="B43" s="15" t="s">
        <v>32</v>
      </c>
      <c r="C43" s="15" t="s">
        <v>30</v>
      </c>
      <c r="D43" s="179">
        <f t="shared" si="3"/>
        <v>2.2510330000000001</v>
      </c>
      <c r="H43" s="15" t="s">
        <v>32</v>
      </c>
      <c r="I43" s="15" t="s">
        <v>30</v>
      </c>
      <c r="J43" s="179">
        <v>2.2511830000000002</v>
      </c>
      <c r="N43" s="15" t="s">
        <v>32</v>
      </c>
      <c r="O43" s="15" t="s">
        <v>30</v>
      </c>
      <c r="P43" s="179">
        <v>2.2499069999999999</v>
      </c>
      <c r="T43" s="15" t="s">
        <v>32</v>
      </c>
      <c r="U43" s="15" t="s">
        <v>30</v>
      </c>
      <c r="V43" s="179">
        <v>2.2511730000000001</v>
      </c>
      <c r="Z43" s="15" t="s">
        <v>32</v>
      </c>
      <c r="AA43" s="15" t="s">
        <v>30</v>
      </c>
      <c r="AB43" s="179">
        <v>2.2500390000000001</v>
      </c>
    </row>
    <row r="44" spans="1:29" x14ac:dyDescent="0.25">
      <c r="B44" s="6" t="s">
        <v>33</v>
      </c>
      <c r="C44" s="6" t="s">
        <v>30</v>
      </c>
      <c r="D44" s="178">
        <f t="shared" si="3"/>
        <v>2.3477049999999999</v>
      </c>
      <c r="H44" s="6" t="s">
        <v>33</v>
      </c>
      <c r="I44" s="6" t="s">
        <v>30</v>
      </c>
      <c r="J44" s="178">
        <v>2.339537</v>
      </c>
      <c r="N44" s="6" t="s">
        <v>33</v>
      </c>
      <c r="O44" s="6" t="s">
        <v>30</v>
      </c>
      <c r="P44" s="178">
        <v>2.3031999999999999</v>
      </c>
      <c r="T44" s="6" t="s">
        <v>33</v>
      </c>
      <c r="U44" s="6" t="s">
        <v>30</v>
      </c>
      <c r="V44" s="178">
        <v>2.3080059999999998</v>
      </c>
      <c r="Z44" s="6" t="s">
        <v>33</v>
      </c>
      <c r="AA44" s="6" t="s">
        <v>30</v>
      </c>
      <c r="AB44" s="178">
        <v>2.300503</v>
      </c>
    </row>
    <row r="45" spans="1:29" x14ac:dyDescent="0.25">
      <c r="B45" s="15" t="s">
        <v>34</v>
      </c>
      <c r="C45" s="15" t="s">
        <v>19</v>
      </c>
      <c r="D45" s="179">
        <f t="shared" si="3"/>
        <v>0.69095399999999996</v>
      </c>
      <c r="H45" s="15" t="s">
        <v>34</v>
      </c>
      <c r="I45" s="15" t="s">
        <v>19</v>
      </c>
      <c r="J45" s="179">
        <v>0.69081199999999998</v>
      </c>
      <c r="N45" s="15" t="s">
        <v>34</v>
      </c>
      <c r="O45" s="15" t="s">
        <v>19</v>
      </c>
      <c r="P45" s="179">
        <v>0.69645999999999997</v>
      </c>
      <c r="T45" s="15" t="s">
        <v>34</v>
      </c>
      <c r="U45" s="15" t="s">
        <v>19</v>
      </c>
      <c r="V45" s="179">
        <v>0.68671400000000005</v>
      </c>
      <c r="Z45" s="15" t="s">
        <v>34</v>
      </c>
      <c r="AA45" s="15" t="s">
        <v>19</v>
      </c>
      <c r="AB45" s="179">
        <v>0.69587600000000005</v>
      </c>
    </row>
    <row r="46" spans="1:29" s="36" customFormat="1" x14ac:dyDescent="0.25">
      <c r="A46" s="35"/>
      <c r="B46" s="18" t="s">
        <v>225</v>
      </c>
      <c r="C46" s="18" t="s">
        <v>19</v>
      </c>
      <c r="D46" s="180">
        <f t="shared" si="3"/>
        <v>0</v>
      </c>
      <c r="E46" s="180"/>
      <c r="G46" s="35"/>
      <c r="H46" s="18" t="s">
        <v>225</v>
      </c>
      <c r="I46" s="18" t="s">
        <v>19</v>
      </c>
      <c r="J46" s="180">
        <v>0</v>
      </c>
      <c r="K46" s="180"/>
      <c r="M46" s="35"/>
      <c r="N46" s="18" t="s">
        <v>225</v>
      </c>
      <c r="O46" s="18" t="s">
        <v>19</v>
      </c>
      <c r="P46" s="180">
        <v>0</v>
      </c>
      <c r="Q46" s="180"/>
      <c r="S46" s="35"/>
      <c r="T46" s="18" t="s">
        <v>225</v>
      </c>
      <c r="U46" s="18" t="s">
        <v>19</v>
      </c>
      <c r="V46" s="180">
        <v>0</v>
      </c>
      <c r="W46" s="180"/>
      <c r="Y46" s="35"/>
      <c r="Z46" s="18" t="s">
        <v>225</v>
      </c>
      <c r="AA46" s="18" t="s">
        <v>19</v>
      </c>
      <c r="AB46" s="180">
        <v>0</v>
      </c>
      <c r="AC46" s="180"/>
    </row>
    <row r="47" spans="1:29" s="36" customFormat="1" x14ac:dyDescent="0.25">
      <c r="A47" s="35"/>
      <c r="B47" s="18" t="s">
        <v>226</v>
      </c>
      <c r="C47" s="18" t="s">
        <v>19</v>
      </c>
      <c r="D47" s="180">
        <f t="shared" si="3"/>
        <v>0</v>
      </c>
      <c r="E47" s="180"/>
      <c r="G47" s="35"/>
      <c r="H47" s="18" t="s">
        <v>226</v>
      </c>
      <c r="I47" s="18" t="s">
        <v>19</v>
      </c>
      <c r="J47" s="180">
        <v>0</v>
      </c>
      <c r="K47" s="180"/>
      <c r="M47" s="35"/>
      <c r="N47" s="18" t="s">
        <v>226</v>
      </c>
      <c r="O47" s="18" t="s">
        <v>19</v>
      </c>
      <c r="P47" s="180">
        <v>0</v>
      </c>
      <c r="Q47" s="180"/>
      <c r="S47" s="35"/>
      <c r="T47" s="18" t="s">
        <v>226</v>
      </c>
      <c r="U47" s="18" t="s">
        <v>19</v>
      </c>
      <c r="V47" s="180">
        <v>0</v>
      </c>
      <c r="W47" s="180"/>
      <c r="Y47" s="35"/>
      <c r="Z47" s="18" t="s">
        <v>226</v>
      </c>
      <c r="AA47" s="18" t="s">
        <v>19</v>
      </c>
      <c r="AB47" s="180">
        <v>0</v>
      </c>
      <c r="AC47" s="180"/>
    </row>
    <row r="48" spans="1:29" x14ac:dyDescent="0.25">
      <c r="B48" s="6" t="s">
        <v>35</v>
      </c>
      <c r="C48" s="6" t="s">
        <v>19</v>
      </c>
      <c r="D48" s="178">
        <f t="shared" si="3"/>
        <v>0.61154200000000003</v>
      </c>
      <c r="H48" s="6" t="s">
        <v>35</v>
      </c>
      <c r="I48" s="6" t="s">
        <v>19</v>
      </c>
      <c r="J48" s="178">
        <v>0.587839</v>
      </c>
      <c r="N48" s="6" t="s">
        <v>35</v>
      </c>
      <c r="O48" s="6" t="s">
        <v>19</v>
      </c>
      <c r="P48" s="178">
        <v>0.55474000000000001</v>
      </c>
      <c r="T48" s="6" t="s">
        <v>35</v>
      </c>
      <c r="U48" s="6" t="s">
        <v>19</v>
      </c>
      <c r="V48" s="178">
        <v>0.57311299999999998</v>
      </c>
      <c r="Z48" s="6" t="s">
        <v>35</v>
      </c>
      <c r="AA48" s="6" t="s">
        <v>19</v>
      </c>
      <c r="AB48" s="178">
        <v>0.57782599999999995</v>
      </c>
    </row>
    <row r="49" spans="2:29" x14ac:dyDescent="0.25">
      <c r="B49" s="15" t="s">
        <v>36</v>
      </c>
      <c r="C49" s="15" t="s">
        <v>19</v>
      </c>
      <c r="D49" s="179">
        <f t="shared" si="3"/>
        <v>0.40051799999999999</v>
      </c>
      <c r="H49" s="15" t="s">
        <v>36</v>
      </c>
      <c r="I49" s="15" t="s">
        <v>19</v>
      </c>
      <c r="J49" s="179">
        <v>0.395955</v>
      </c>
      <c r="N49" s="15" t="s">
        <v>36</v>
      </c>
      <c r="O49" s="15" t="s">
        <v>19</v>
      </c>
      <c r="P49" s="179">
        <v>0.399727</v>
      </c>
      <c r="T49" s="15" t="s">
        <v>36</v>
      </c>
      <c r="U49" s="15" t="s">
        <v>19</v>
      </c>
      <c r="V49" s="179">
        <v>0.39533200000000002</v>
      </c>
      <c r="Z49" s="15" t="s">
        <v>36</v>
      </c>
      <c r="AA49" s="15" t="s">
        <v>19</v>
      </c>
      <c r="AB49" s="179">
        <v>0.40090300000000001</v>
      </c>
    </row>
    <row r="50" spans="2:29" x14ac:dyDescent="0.25">
      <c r="B50" s="6" t="s">
        <v>37</v>
      </c>
      <c r="C50" s="6" t="s">
        <v>19</v>
      </c>
      <c r="D50" s="178">
        <f t="shared" si="3"/>
        <v>0.32927099999999998</v>
      </c>
      <c r="H50" s="6" t="s">
        <v>37</v>
      </c>
      <c r="I50" s="6" t="s">
        <v>19</v>
      </c>
      <c r="J50" s="178">
        <v>0.32735599999999998</v>
      </c>
      <c r="N50" s="6" t="s">
        <v>37</v>
      </c>
      <c r="O50" s="6" t="s">
        <v>19</v>
      </c>
      <c r="P50" s="178">
        <v>0.32769300000000001</v>
      </c>
      <c r="T50" s="6" t="s">
        <v>37</v>
      </c>
      <c r="U50" s="6" t="s">
        <v>19</v>
      </c>
      <c r="V50" s="178">
        <v>0.31315399999999999</v>
      </c>
      <c r="Z50" s="6" t="s">
        <v>37</v>
      </c>
      <c r="AA50" s="6" t="s">
        <v>19</v>
      </c>
      <c r="AB50" s="178">
        <v>0.30593399999999998</v>
      </c>
    </row>
    <row r="51" spans="2:29" x14ac:dyDescent="0.25">
      <c r="B51" s="6" t="s">
        <v>38</v>
      </c>
      <c r="C51" s="6" t="s">
        <v>19</v>
      </c>
      <c r="D51" s="178">
        <f t="shared" si="3"/>
        <v>0.45596500000000001</v>
      </c>
      <c r="H51" s="6" t="s">
        <v>38</v>
      </c>
      <c r="I51" s="6" t="s">
        <v>19</v>
      </c>
      <c r="J51" s="178">
        <v>0.44190699999999999</v>
      </c>
      <c r="N51" s="6" t="s">
        <v>38</v>
      </c>
      <c r="O51" s="6" t="s">
        <v>19</v>
      </c>
      <c r="P51" s="178">
        <v>0.42448599999999997</v>
      </c>
      <c r="T51" s="6" t="s">
        <v>38</v>
      </c>
      <c r="U51" s="6" t="s">
        <v>19</v>
      </c>
      <c r="V51" s="178">
        <v>0.46038699999999999</v>
      </c>
      <c r="Z51" s="6" t="s">
        <v>38</v>
      </c>
      <c r="AA51" s="6" t="s">
        <v>19</v>
      </c>
      <c r="AB51" s="178">
        <v>0.464754</v>
      </c>
    </row>
    <row r="52" spans="2:29" x14ac:dyDescent="0.25">
      <c r="B52" s="6" t="s">
        <v>39</v>
      </c>
      <c r="C52" s="6" t="s">
        <v>19</v>
      </c>
      <c r="D52" s="178">
        <f t="shared" si="3"/>
        <v>0.33302500000000002</v>
      </c>
      <c r="H52" s="6" t="s">
        <v>39</v>
      </c>
      <c r="I52" s="6" t="s">
        <v>19</v>
      </c>
      <c r="J52" s="178">
        <v>0.313884</v>
      </c>
      <c r="N52" s="6" t="s">
        <v>39</v>
      </c>
      <c r="O52" s="6" t="s">
        <v>19</v>
      </c>
      <c r="P52" s="178">
        <v>0.27701199999999998</v>
      </c>
      <c r="T52" s="6" t="s">
        <v>39</v>
      </c>
      <c r="U52" s="6" t="s">
        <v>19</v>
      </c>
      <c r="V52" s="178">
        <v>0.29978100000000002</v>
      </c>
      <c r="Z52" s="6" t="s">
        <v>39</v>
      </c>
      <c r="AA52" s="6" t="s">
        <v>19</v>
      </c>
      <c r="AB52" s="178">
        <v>0.29892299999999999</v>
      </c>
    </row>
    <row r="53" spans="2:29" x14ac:dyDescent="0.25">
      <c r="B53" s="15" t="s">
        <v>40</v>
      </c>
      <c r="C53" s="15" t="s">
        <v>19</v>
      </c>
      <c r="D53" s="179">
        <f t="shared" si="3"/>
        <v>0.122</v>
      </c>
      <c r="H53" s="15" t="s">
        <v>40</v>
      </c>
      <c r="I53" s="15" t="s">
        <v>19</v>
      </c>
      <c r="J53" s="179">
        <v>0.122</v>
      </c>
      <c r="N53" s="15" t="s">
        <v>40</v>
      </c>
      <c r="O53" s="15" t="s">
        <v>19</v>
      </c>
      <c r="P53" s="179">
        <v>0.122</v>
      </c>
      <c r="T53" s="15" t="s">
        <v>40</v>
      </c>
      <c r="U53" s="15" t="s">
        <v>19</v>
      </c>
      <c r="V53" s="179">
        <v>0.122</v>
      </c>
      <c r="Z53" s="15" t="s">
        <v>40</v>
      </c>
      <c r="AA53" s="15" t="s">
        <v>19</v>
      </c>
      <c r="AB53" s="179">
        <v>0.122</v>
      </c>
    </row>
    <row r="54" spans="2:29" x14ac:dyDescent="0.25">
      <c r="B54" s="6" t="s">
        <v>41</v>
      </c>
      <c r="C54" s="6" t="s">
        <v>19</v>
      </c>
      <c r="D54" s="178">
        <f t="shared" si="3"/>
        <v>0.10979999999999999</v>
      </c>
      <c r="H54" s="6" t="s">
        <v>41</v>
      </c>
      <c r="I54" s="6" t="s">
        <v>19</v>
      </c>
      <c r="J54" s="178">
        <v>0.10979999999999999</v>
      </c>
      <c r="N54" s="6" t="s">
        <v>41</v>
      </c>
      <c r="O54" s="6" t="s">
        <v>19</v>
      </c>
      <c r="P54" s="178">
        <v>0.10979999999999999</v>
      </c>
      <c r="T54" s="6" t="s">
        <v>41</v>
      </c>
      <c r="U54" s="6" t="s">
        <v>19</v>
      </c>
      <c r="V54" s="178">
        <v>0.10979999999999999</v>
      </c>
      <c r="Z54" s="6" t="s">
        <v>41</v>
      </c>
      <c r="AA54" s="6" t="s">
        <v>19</v>
      </c>
      <c r="AB54" s="178">
        <v>0.10979999999999999</v>
      </c>
    </row>
    <row r="55" spans="2:29" x14ac:dyDescent="0.25">
      <c r="B55" s="6" t="s">
        <v>42</v>
      </c>
      <c r="C55" s="6" t="s">
        <v>19</v>
      </c>
      <c r="D55" s="178">
        <f t="shared" si="3"/>
        <v>0.1159</v>
      </c>
      <c r="H55" s="6" t="s">
        <v>42</v>
      </c>
      <c r="I55" s="6" t="s">
        <v>19</v>
      </c>
      <c r="J55" s="178">
        <v>0.1159</v>
      </c>
      <c r="N55" s="6" t="s">
        <v>42</v>
      </c>
      <c r="O55" s="6" t="s">
        <v>19</v>
      </c>
      <c r="P55" s="178">
        <v>0.1159</v>
      </c>
      <c r="T55" s="6" t="s">
        <v>42</v>
      </c>
      <c r="U55" s="6" t="s">
        <v>19</v>
      </c>
      <c r="V55" s="178">
        <v>0.1159</v>
      </c>
      <c r="Z55" s="6" t="s">
        <v>42</v>
      </c>
      <c r="AA55" s="6" t="s">
        <v>19</v>
      </c>
      <c r="AB55" s="178">
        <v>0.1159</v>
      </c>
    </row>
    <row r="56" spans="2:29" x14ac:dyDescent="0.25">
      <c r="B56" s="15" t="s">
        <v>43</v>
      </c>
      <c r="C56" s="15" t="s">
        <v>44</v>
      </c>
      <c r="D56" s="186">
        <f t="shared" si="3"/>
        <v>750</v>
      </c>
      <c r="E56" s="185"/>
      <c r="H56" s="15" t="s">
        <v>43</v>
      </c>
      <c r="I56" s="15" t="s">
        <v>44</v>
      </c>
      <c r="J56" s="186">
        <v>750</v>
      </c>
      <c r="K56" s="185"/>
      <c r="N56" s="15" t="s">
        <v>43</v>
      </c>
      <c r="O56" s="15" t="s">
        <v>44</v>
      </c>
      <c r="P56" s="186">
        <v>750</v>
      </c>
      <c r="Q56" s="185"/>
      <c r="T56" s="15" t="s">
        <v>43</v>
      </c>
      <c r="U56" s="15" t="s">
        <v>44</v>
      </c>
      <c r="V56" s="186">
        <v>750</v>
      </c>
      <c r="W56" s="185"/>
      <c r="Z56" s="15" t="s">
        <v>43</v>
      </c>
      <c r="AA56" s="15" t="s">
        <v>44</v>
      </c>
      <c r="AB56" s="186">
        <v>750</v>
      </c>
      <c r="AC56" s="185"/>
    </row>
    <row r="57" spans="2:29" x14ac:dyDescent="0.25">
      <c r="B57" s="176" t="s">
        <v>45</v>
      </c>
      <c r="C57" s="176" t="s">
        <v>46</v>
      </c>
      <c r="D57" s="182">
        <f t="shared" si="3"/>
        <v>1.1298539999999999</v>
      </c>
      <c r="H57" s="176" t="s">
        <v>45</v>
      </c>
      <c r="I57" s="176" t="s">
        <v>46</v>
      </c>
      <c r="J57" s="182">
        <v>1.175171</v>
      </c>
      <c r="N57" s="176" t="s">
        <v>45</v>
      </c>
      <c r="O57" s="176" t="s">
        <v>46</v>
      </c>
      <c r="P57" s="182">
        <v>1.255471</v>
      </c>
      <c r="T57" s="176" t="s">
        <v>45</v>
      </c>
      <c r="U57" s="176" t="s">
        <v>46</v>
      </c>
      <c r="V57" s="182">
        <v>1.1982159999999999</v>
      </c>
      <c r="Z57" s="176" t="s">
        <v>45</v>
      </c>
      <c r="AA57" s="176" t="s">
        <v>46</v>
      </c>
      <c r="AB57" s="182">
        <v>1.2042999999999999</v>
      </c>
    </row>
    <row r="58" spans="2:29" x14ac:dyDescent="0.25">
      <c r="B58" s="6" t="s">
        <v>47</v>
      </c>
      <c r="C58" s="6" t="s">
        <v>46</v>
      </c>
      <c r="D58" s="178">
        <f t="shared" si="3"/>
        <v>1.725152</v>
      </c>
      <c r="H58" s="6" t="s">
        <v>47</v>
      </c>
      <c r="I58" s="6" t="s">
        <v>46</v>
      </c>
      <c r="J58" s="178">
        <v>1.7446729999999999</v>
      </c>
      <c r="N58" s="6" t="s">
        <v>47</v>
      </c>
      <c r="O58" s="6" t="s">
        <v>46</v>
      </c>
      <c r="P58" s="178">
        <v>1.742337</v>
      </c>
      <c r="T58" s="6" t="s">
        <v>47</v>
      </c>
      <c r="U58" s="6" t="s">
        <v>46</v>
      </c>
      <c r="V58" s="178">
        <v>1.7370540000000001</v>
      </c>
      <c r="Z58" s="6" t="s">
        <v>47</v>
      </c>
      <c r="AA58" s="6" t="s">
        <v>46</v>
      </c>
      <c r="AB58" s="178">
        <v>1.73577</v>
      </c>
    </row>
    <row r="59" spans="2:29" x14ac:dyDescent="0.25">
      <c r="B59" s="6" t="s">
        <v>48</v>
      </c>
      <c r="C59" s="6" t="s">
        <v>46</v>
      </c>
      <c r="D59" s="178">
        <f t="shared" ref="D59:D90" si="4">IFERROR(VLOOKUP(B59,raw_2,4,FALSE),0)</f>
        <v>2.098433</v>
      </c>
      <c r="H59" s="6" t="s">
        <v>48</v>
      </c>
      <c r="I59" s="6" t="s">
        <v>46</v>
      </c>
      <c r="J59" s="178">
        <v>2.110277</v>
      </c>
      <c r="N59" s="6" t="s">
        <v>48</v>
      </c>
      <c r="O59" s="6" t="s">
        <v>46</v>
      </c>
      <c r="P59" s="178">
        <v>2.125343</v>
      </c>
      <c r="T59" s="6" t="s">
        <v>48</v>
      </c>
      <c r="U59" s="6" t="s">
        <v>46</v>
      </c>
      <c r="V59" s="178">
        <v>2.1928920000000001</v>
      </c>
      <c r="Z59" s="6" t="s">
        <v>48</v>
      </c>
      <c r="AA59" s="6" t="s">
        <v>46</v>
      </c>
      <c r="AB59" s="178">
        <v>2.2745959999999998</v>
      </c>
    </row>
    <row r="60" spans="2:29" x14ac:dyDescent="0.25">
      <c r="B60" s="6" t="s">
        <v>181</v>
      </c>
      <c r="C60" s="6" t="s">
        <v>46</v>
      </c>
      <c r="D60" s="178">
        <f t="shared" si="4"/>
        <v>1.5153639999999999</v>
      </c>
      <c r="H60" s="6" t="s">
        <v>181</v>
      </c>
      <c r="I60" s="6" t="s">
        <v>46</v>
      </c>
      <c r="J60" s="178">
        <v>1.563253</v>
      </c>
      <c r="N60" s="6" t="s">
        <v>181</v>
      </c>
      <c r="O60" s="6" t="s">
        <v>46</v>
      </c>
      <c r="P60" s="178">
        <v>1.6407119999999999</v>
      </c>
      <c r="T60" s="6" t="s">
        <v>181</v>
      </c>
      <c r="U60" s="6" t="s">
        <v>46</v>
      </c>
      <c r="V60" s="178">
        <v>1.491601</v>
      </c>
      <c r="Z60" s="6" t="s">
        <v>181</v>
      </c>
      <c r="AA60" s="6" t="s">
        <v>46</v>
      </c>
      <c r="AB60" s="178">
        <v>1.4972989999999999</v>
      </c>
    </row>
    <row r="61" spans="2:29" x14ac:dyDescent="0.25">
      <c r="B61" s="15" t="s">
        <v>49</v>
      </c>
      <c r="C61" s="15" t="s">
        <v>19</v>
      </c>
      <c r="D61" s="179">
        <f t="shared" si="4"/>
        <v>0.231437</v>
      </c>
      <c r="H61" s="15" t="s">
        <v>49</v>
      </c>
      <c r="I61" s="15" t="s">
        <v>19</v>
      </c>
      <c r="J61" s="179">
        <v>0.23114599999999999</v>
      </c>
      <c r="N61" s="15" t="s">
        <v>49</v>
      </c>
      <c r="O61" s="15" t="s">
        <v>19</v>
      </c>
      <c r="P61" s="179">
        <v>0.21343500000000001</v>
      </c>
      <c r="T61" s="15" t="s">
        <v>49</v>
      </c>
      <c r="U61" s="15" t="s">
        <v>19</v>
      </c>
      <c r="V61" s="179">
        <v>0.20891599999999999</v>
      </c>
      <c r="Z61" s="15" t="s">
        <v>49</v>
      </c>
      <c r="AA61" s="15" t="s">
        <v>19</v>
      </c>
      <c r="AB61" s="179">
        <v>0.23085600000000001</v>
      </c>
    </row>
    <row r="62" spans="2:29" x14ac:dyDescent="0.25">
      <c r="B62" s="6" t="s">
        <v>50</v>
      </c>
      <c r="C62" s="6" t="s">
        <v>19</v>
      </c>
      <c r="D62" s="178">
        <f t="shared" si="4"/>
        <v>0.738093</v>
      </c>
      <c r="H62" s="6" t="s">
        <v>50</v>
      </c>
      <c r="I62" s="6" t="s">
        <v>19</v>
      </c>
      <c r="J62" s="178">
        <v>0.69860199999999995</v>
      </c>
      <c r="N62" s="6" t="s">
        <v>50</v>
      </c>
      <c r="O62" s="6" t="s">
        <v>19</v>
      </c>
      <c r="P62" s="178">
        <v>0.63341000000000003</v>
      </c>
      <c r="T62" s="6" t="s">
        <v>50</v>
      </c>
      <c r="U62" s="6" t="s">
        <v>19</v>
      </c>
      <c r="V62" s="178">
        <v>0.71780600000000006</v>
      </c>
      <c r="Z62" s="6" t="s">
        <v>50</v>
      </c>
      <c r="AA62" s="6" t="s">
        <v>19</v>
      </c>
      <c r="AB62" s="178">
        <v>0.69445000000000001</v>
      </c>
    </row>
    <row r="63" spans="2:29" x14ac:dyDescent="0.25">
      <c r="B63" s="6" t="s">
        <v>51</v>
      </c>
      <c r="C63" s="6" t="s">
        <v>19</v>
      </c>
      <c r="D63" s="178">
        <f t="shared" si="4"/>
        <v>0.35895700000000003</v>
      </c>
      <c r="H63" s="6" t="s">
        <v>51</v>
      </c>
      <c r="I63" s="6" t="s">
        <v>19</v>
      </c>
      <c r="J63" s="178">
        <v>0.370363</v>
      </c>
      <c r="N63" s="6" t="s">
        <v>51</v>
      </c>
      <c r="O63" s="6" t="s">
        <v>19</v>
      </c>
      <c r="P63" s="178">
        <v>0.36893999999999999</v>
      </c>
      <c r="T63" s="6" t="s">
        <v>51</v>
      </c>
      <c r="U63" s="6" t="s">
        <v>19</v>
      </c>
      <c r="V63" s="178">
        <v>0.338785</v>
      </c>
      <c r="Z63" s="6" t="s">
        <v>51</v>
      </c>
      <c r="AA63" s="6" t="s">
        <v>19</v>
      </c>
      <c r="AB63" s="178">
        <v>0.39013199999999998</v>
      </c>
    </row>
    <row r="64" spans="2:29" x14ac:dyDescent="0.25">
      <c r="B64" s="6" t="s">
        <v>52</v>
      </c>
      <c r="C64" s="6" t="s">
        <v>19</v>
      </c>
      <c r="D64" s="178">
        <f t="shared" si="4"/>
        <v>0.25668400000000002</v>
      </c>
      <c r="H64" s="6" t="s">
        <v>52</v>
      </c>
      <c r="I64" s="6" t="s">
        <v>19</v>
      </c>
      <c r="J64" s="178">
        <v>0.241284</v>
      </c>
      <c r="N64" s="6" t="s">
        <v>52</v>
      </c>
      <c r="O64" s="6" t="s">
        <v>19</v>
      </c>
      <c r="P64" s="178">
        <v>0.198575</v>
      </c>
      <c r="T64" s="6" t="s">
        <v>52</v>
      </c>
      <c r="U64" s="6" t="s">
        <v>19</v>
      </c>
      <c r="V64" s="178">
        <v>0.24366699999999999</v>
      </c>
      <c r="Z64" s="6" t="s">
        <v>52</v>
      </c>
      <c r="AA64" s="6" t="s">
        <v>19</v>
      </c>
      <c r="AB64" s="178">
        <v>0.22905500000000001</v>
      </c>
    </row>
    <row r="65" spans="2:28" x14ac:dyDescent="0.25">
      <c r="B65" s="6" t="s">
        <v>53</v>
      </c>
      <c r="C65" s="6" t="s">
        <v>19</v>
      </c>
      <c r="D65" s="178">
        <f t="shared" si="4"/>
        <v>0.264708</v>
      </c>
      <c r="H65" s="6" t="s">
        <v>53</v>
      </c>
      <c r="I65" s="6" t="s">
        <v>19</v>
      </c>
      <c r="J65" s="178">
        <v>0.266262</v>
      </c>
      <c r="N65" s="6" t="s">
        <v>53</v>
      </c>
      <c r="O65" s="6" t="s">
        <v>19</v>
      </c>
      <c r="P65" s="178">
        <v>0.31250499999999998</v>
      </c>
      <c r="T65" s="6" t="s">
        <v>53</v>
      </c>
      <c r="U65" s="6" t="s">
        <v>19</v>
      </c>
      <c r="V65" s="178">
        <v>0.27027800000000002</v>
      </c>
      <c r="Z65" s="6" t="s">
        <v>53</v>
      </c>
      <c r="AA65" s="6" t="s">
        <v>19</v>
      </c>
      <c r="AB65" s="178">
        <v>0.22323499999999999</v>
      </c>
    </row>
    <row r="66" spans="2:28" x14ac:dyDescent="0.25">
      <c r="B66" s="15" t="s">
        <v>182</v>
      </c>
      <c r="C66" s="15" t="s">
        <v>19</v>
      </c>
      <c r="D66" s="179">
        <f t="shared" si="4"/>
        <v>0.58591599999999999</v>
      </c>
      <c r="H66" s="15" t="s">
        <v>182</v>
      </c>
      <c r="I66" s="15" t="s">
        <v>19</v>
      </c>
      <c r="J66" s="179">
        <v>0.585179</v>
      </c>
      <c r="N66" s="15" t="s">
        <v>182</v>
      </c>
      <c r="O66" s="15" t="s">
        <v>19</v>
      </c>
      <c r="P66" s="179">
        <v>0.54034099999999996</v>
      </c>
      <c r="T66" s="15" t="s">
        <v>182</v>
      </c>
      <c r="U66" s="15" t="s">
        <v>19</v>
      </c>
      <c r="V66" s="179">
        <v>0.52890199999999998</v>
      </c>
      <c r="Z66" s="15" t="s">
        <v>182</v>
      </c>
      <c r="AA66" s="15" t="s">
        <v>19</v>
      </c>
      <c r="AB66" s="179">
        <v>0.58444499999999999</v>
      </c>
    </row>
    <row r="67" spans="2:28" x14ac:dyDescent="0.25">
      <c r="B67" s="6" t="s">
        <v>183</v>
      </c>
      <c r="C67" s="6" t="s">
        <v>184</v>
      </c>
      <c r="D67" s="178">
        <f t="shared" si="4"/>
        <v>45.399890999999997</v>
      </c>
      <c r="H67" s="6" t="s">
        <v>183</v>
      </c>
      <c r="I67" s="6" t="s">
        <v>184</v>
      </c>
      <c r="J67" s="178">
        <v>31.461846999999999</v>
      </c>
      <c r="N67" s="6" t="s">
        <v>183</v>
      </c>
      <c r="O67" s="6" t="s">
        <v>184</v>
      </c>
      <c r="P67" s="178">
        <v>-20.484414000000001</v>
      </c>
      <c r="T67" s="6" t="s">
        <v>183</v>
      </c>
      <c r="U67" s="6" t="s">
        <v>184</v>
      </c>
      <c r="V67" s="178">
        <v>35.300257999999999</v>
      </c>
      <c r="Z67" s="6" t="s">
        <v>183</v>
      </c>
      <c r="AA67" s="6" t="s">
        <v>184</v>
      </c>
      <c r="AB67" s="178">
        <v>56.429569000000001</v>
      </c>
    </row>
    <row r="68" spans="2:28" x14ac:dyDescent="0.25">
      <c r="B68" s="6" t="s">
        <v>54</v>
      </c>
      <c r="C68" s="6" t="s">
        <v>19</v>
      </c>
      <c r="D68" s="178">
        <f t="shared" si="4"/>
        <v>0.84419</v>
      </c>
      <c r="H68" s="6" t="s">
        <v>54</v>
      </c>
      <c r="I68" s="6" t="s">
        <v>19</v>
      </c>
      <c r="J68" s="178">
        <v>0.84300699999999995</v>
      </c>
      <c r="N68" s="6" t="s">
        <v>54</v>
      </c>
      <c r="O68" s="6" t="s">
        <v>19</v>
      </c>
      <c r="P68" s="178">
        <v>0.84833499999999995</v>
      </c>
      <c r="T68" s="6" t="s">
        <v>54</v>
      </c>
      <c r="U68" s="6" t="s">
        <v>19</v>
      </c>
      <c r="V68" s="178">
        <v>0.82565500000000003</v>
      </c>
      <c r="Z68" s="6" t="s">
        <v>54</v>
      </c>
      <c r="AA68" s="6" t="s">
        <v>19</v>
      </c>
      <c r="AB68" s="178">
        <v>0.80118500000000004</v>
      </c>
    </row>
    <row r="69" spans="2:28" x14ac:dyDescent="0.25">
      <c r="B69" s="15" t="s">
        <v>55</v>
      </c>
      <c r="C69" s="15" t="s">
        <v>19</v>
      </c>
      <c r="D69" s="179">
        <f t="shared" si="4"/>
        <v>0.69883799999999996</v>
      </c>
      <c r="H69" s="15" t="s">
        <v>55</v>
      </c>
      <c r="I69" s="15" t="s">
        <v>19</v>
      </c>
      <c r="J69" s="179">
        <v>0.69894800000000001</v>
      </c>
      <c r="N69" s="15" t="s">
        <v>55</v>
      </c>
      <c r="O69" s="15" t="s">
        <v>19</v>
      </c>
      <c r="P69" s="179">
        <v>0.70039600000000002</v>
      </c>
      <c r="T69" s="15" t="s">
        <v>55</v>
      </c>
      <c r="U69" s="15" t="s">
        <v>19</v>
      </c>
      <c r="V69" s="179">
        <v>0.70015799999999995</v>
      </c>
      <c r="Z69" s="15" t="s">
        <v>55</v>
      </c>
      <c r="AA69" s="15" t="s">
        <v>19</v>
      </c>
      <c r="AB69" s="179">
        <v>0.700044</v>
      </c>
    </row>
    <row r="70" spans="2:28" x14ac:dyDescent="0.25">
      <c r="B70" s="15" t="s">
        <v>56</v>
      </c>
      <c r="C70" s="15" t="s">
        <v>46</v>
      </c>
      <c r="D70" s="179">
        <f t="shared" si="4"/>
        <v>0.32491399999999998</v>
      </c>
      <c r="H70" s="15" t="s">
        <v>56</v>
      </c>
      <c r="I70" s="15" t="s">
        <v>46</v>
      </c>
      <c r="J70" s="179">
        <v>0.31926100000000002</v>
      </c>
      <c r="N70" s="15" t="s">
        <v>56</v>
      </c>
      <c r="O70" s="15" t="s">
        <v>46</v>
      </c>
      <c r="P70" s="179">
        <v>0.333569</v>
      </c>
      <c r="T70" s="15" t="s">
        <v>56</v>
      </c>
      <c r="U70" s="15" t="s">
        <v>46</v>
      </c>
      <c r="V70" s="179">
        <v>0.300589</v>
      </c>
      <c r="Z70" s="15" t="s">
        <v>56</v>
      </c>
      <c r="AA70" s="15" t="s">
        <v>46</v>
      </c>
      <c r="AB70" s="179">
        <v>0.28734100000000001</v>
      </c>
    </row>
    <row r="71" spans="2:28" x14ac:dyDescent="0.25">
      <c r="B71" s="6" t="s">
        <v>57</v>
      </c>
      <c r="C71" s="6" t="s">
        <v>46</v>
      </c>
      <c r="D71" s="178">
        <f t="shared" si="4"/>
        <v>0.32500200000000001</v>
      </c>
      <c r="H71" s="6" t="s">
        <v>57</v>
      </c>
      <c r="I71" s="6" t="s">
        <v>46</v>
      </c>
      <c r="J71" s="178">
        <v>0.32462200000000002</v>
      </c>
      <c r="N71" s="6" t="s">
        <v>57</v>
      </c>
      <c r="O71" s="6" t="s">
        <v>46</v>
      </c>
      <c r="P71" s="178">
        <v>0.37987100000000001</v>
      </c>
      <c r="T71" s="6" t="s">
        <v>57</v>
      </c>
      <c r="U71" s="6" t="s">
        <v>46</v>
      </c>
      <c r="V71" s="178">
        <v>0.34880499999999998</v>
      </c>
      <c r="Z71" s="6" t="s">
        <v>57</v>
      </c>
      <c r="AA71" s="6" t="s">
        <v>46</v>
      </c>
      <c r="AB71" s="178">
        <v>0.33188099999999998</v>
      </c>
    </row>
    <row r="72" spans="2:28" x14ac:dyDescent="0.25">
      <c r="B72" s="15" t="s">
        <v>58</v>
      </c>
      <c r="C72" s="15" t="s">
        <v>46</v>
      </c>
      <c r="D72" s="179">
        <f t="shared" si="4"/>
        <v>0.64991600000000005</v>
      </c>
      <c r="H72" s="15" t="s">
        <v>58</v>
      </c>
      <c r="I72" s="15" t="s">
        <v>46</v>
      </c>
      <c r="J72" s="179">
        <v>0.64388299999999998</v>
      </c>
      <c r="N72" s="15" t="s">
        <v>58</v>
      </c>
      <c r="O72" s="15" t="s">
        <v>46</v>
      </c>
      <c r="P72" s="179">
        <v>0.71343999999999996</v>
      </c>
      <c r="T72" s="15" t="s">
        <v>58</v>
      </c>
      <c r="U72" s="15" t="s">
        <v>46</v>
      </c>
      <c r="V72" s="179">
        <v>0.64939400000000003</v>
      </c>
      <c r="Z72" s="15" t="s">
        <v>58</v>
      </c>
      <c r="AA72" s="15" t="s">
        <v>46</v>
      </c>
      <c r="AB72" s="179">
        <v>0.61922100000000002</v>
      </c>
    </row>
    <row r="73" spans="2:28" x14ac:dyDescent="0.25">
      <c r="B73" s="15" t="s">
        <v>59</v>
      </c>
      <c r="C73" s="15" t="s">
        <v>46</v>
      </c>
      <c r="D73" s="179">
        <f t="shared" si="4"/>
        <v>0.62714499999999995</v>
      </c>
      <c r="H73" s="15" t="s">
        <v>59</v>
      </c>
      <c r="I73" s="15" t="s">
        <v>46</v>
      </c>
      <c r="J73" s="179">
        <v>0.62257099999999999</v>
      </c>
      <c r="N73" s="15" t="s">
        <v>59</v>
      </c>
      <c r="O73" s="15" t="s">
        <v>46</v>
      </c>
      <c r="P73" s="179">
        <v>0.624726</v>
      </c>
      <c r="T73" s="15" t="s">
        <v>59</v>
      </c>
      <c r="U73" s="15" t="s">
        <v>46</v>
      </c>
      <c r="V73" s="179">
        <v>0.62391399999999997</v>
      </c>
      <c r="Z73" s="15" t="s">
        <v>59</v>
      </c>
      <c r="AA73" s="15" t="s">
        <v>46</v>
      </c>
      <c r="AB73" s="179">
        <v>0.62728600000000001</v>
      </c>
    </row>
    <row r="74" spans="2:28" x14ac:dyDescent="0.25">
      <c r="B74" s="15" t="s">
        <v>60</v>
      </c>
      <c r="C74" s="15" t="s">
        <v>46</v>
      </c>
      <c r="D74" s="179">
        <f t="shared" si="4"/>
        <v>0.18493299999999999</v>
      </c>
      <c r="H74" s="15" t="s">
        <v>60</v>
      </c>
      <c r="I74" s="15" t="s">
        <v>46</v>
      </c>
      <c r="J74" s="179">
        <v>0.18495700000000001</v>
      </c>
      <c r="N74" s="15" t="s">
        <v>60</v>
      </c>
      <c r="O74" s="15" t="s">
        <v>46</v>
      </c>
      <c r="P74" s="179">
        <v>0.209567</v>
      </c>
      <c r="T74" s="15" t="s">
        <v>60</v>
      </c>
      <c r="U74" s="15" t="s">
        <v>46</v>
      </c>
      <c r="V74" s="179">
        <v>0.19411800000000001</v>
      </c>
      <c r="Z74" s="15" t="s">
        <v>60</v>
      </c>
      <c r="AA74" s="15" t="s">
        <v>46</v>
      </c>
      <c r="AB74" s="179">
        <v>0.19369</v>
      </c>
    </row>
    <row r="75" spans="2:28" x14ac:dyDescent="0.25">
      <c r="B75" s="15" t="s">
        <v>61</v>
      </c>
      <c r="C75" s="15" t="s">
        <v>46</v>
      </c>
      <c r="D75" s="179">
        <f t="shared" si="4"/>
        <v>0.65070799999999995</v>
      </c>
      <c r="H75" s="15" t="s">
        <v>61</v>
      </c>
      <c r="I75" s="15" t="s">
        <v>46</v>
      </c>
      <c r="J75" s="179">
        <v>0.64700100000000005</v>
      </c>
      <c r="N75" s="15" t="s">
        <v>61</v>
      </c>
      <c r="O75" s="15" t="s">
        <v>46</v>
      </c>
      <c r="P75" s="179">
        <v>0.68157900000000005</v>
      </c>
      <c r="T75" s="15" t="s">
        <v>61</v>
      </c>
      <c r="U75" s="15" t="s">
        <v>46</v>
      </c>
      <c r="V75" s="179">
        <v>0.66884999999999994</v>
      </c>
      <c r="Z75" s="15" t="s">
        <v>61</v>
      </c>
      <c r="AA75" s="15" t="s">
        <v>46</v>
      </c>
      <c r="AB75" s="179">
        <v>0.62021899999999996</v>
      </c>
    </row>
    <row r="76" spans="2:28" x14ac:dyDescent="0.25">
      <c r="B76" s="15" t="s">
        <v>62</v>
      </c>
      <c r="C76" s="15" t="s">
        <v>46</v>
      </c>
      <c r="D76" s="179">
        <f t="shared" si="4"/>
        <v>0.84612699999999996</v>
      </c>
      <c r="H76" s="15" t="s">
        <v>62</v>
      </c>
      <c r="I76" s="15" t="s">
        <v>46</v>
      </c>
      <c r="J76" s="179">
        <v>0.83761099999999999</v>
      </c>
      <c r="N76" s="15" t="s">
        <v>62</v>
      </c>
      <c r="O76" s="15" t="s">
        <v>46</v>
      </c>
      <c r="P76" s="179">
        <v>0.86255599999999999</v>
      </c>
      <c r="T76" s="15" t="s">
        <v>62</v>
      </c>
      <c r="U76" s="15" t="s">
        <v>46</v>
      </c>
      <c r="V76" s="179">
        <v>0.84394400000000003</v>
      </c>
      <c r="Z76" s="15" t="s">
        <v>62</v>
      </c>
      <c r="AA76" s="15" t="s">
        <v>46</v>
      </c>
      <c r="AB76" s="179">
        <v>0.77297300000000002</v>
      </c>
    </row>
    <row r="77" spans="2:28" x14ac:dyDescent="0.25">
      <c r="B77" s="6" t="s">
        <v>63</v>
      </c>
      <c r="C77" s="6" t="s">
        <v>46</v>
      </c>
      <c r="D77" s="178">
        <f t="shared" si="4"/>
        <v>1.678639</v>
      </c>
      <c r="H77" s="6" t="s">
        <v>63</v>
      </c>
      <c r="I77" s="6" t="s">
        <v>46</v>
      </c>
      <c r="J77" s="178">
        <v>1.6199680000000001</v>
      </c>
      <c r="N77" s="6" t="s">
        <v>63</v>
      </c>
      <c r="O77" s="6" t="s">
        <v>46</v>
      </c>
      <c r="P77" s="178">
        <v>1.453743</v>
      </c>
      <c r="T77" s="6" t="s">
        <v>63</v>
      </c>
      <c r="U77" s="6" t="s">
        <v>46</v>
      </c>
      <c r="V77" s="178">
        <v>1.444501</v>
      </c>
      <c r="Z77" s="6" t="s">
        <v>63</v>
      </c>
      <c r="AA77" s="6" t="s">
        <v>46</v>
      </c>
      <c r="AB77" s="178">
        <v>1.1825270000000001</v>
      </c>
    </row>
    <row r="78" spans="2:28" x14ac:dyDescent="0.25">
      <c r="B78" s="6" t="s">
        <v>64</v>
      </c>
      <c r="C78" s="6" t="s">
        <v>46</v>
      </c>
      <c r="D78" s="178">
        <f t="shared" si="4"/>
        <v>1.111567</v>
      </c>
      <c r="H78" s="6" t="s">
        <v>64</v>
      </c>
      <c r="I78" s="6" t="s">
        <v>46</v>
      </c>
      <c r="J78" s="178">
        <v>1.0727720000000001</v>
      </c>
      <c r="N78" s="6" t="s">
        <v>64</v>
      </c>
      <c r="O78" s="6" t="s">
        <v>46</v>
      </c>
      <c r="P78" s="178">
        <v>1.0178959999999999</v>
      </c>
      <c r="T78" s="6" t="s">
        <v>64</v>
      </c>
      <c r="U78" s="6" t="s">
        <v>46</v>
      </c>
      <c r="V78" s="178">
        <v>1.175195</v>
      </c>
      <c r="Z78" s="6" t="s">
        <v>64</v>
      </c>
      <c r="AA78" s="6" t="s">
        <v>46</v>
      </c>
      <c r="AB78" s="178">
        <v>1.1625730000000001</v>
      </c>
    </row>
    <row r="79" spans="2:28" x14ac:dyDescent="0.25">
      <c r="B79" s="6" t="s">
        <v>65</v>
      </c>
      <c r="C79" s="6" t="s">
        <v>46</v>
      </c>
      <c r="D79" s="178">
        <f t="shared" si="4"/>
        <v>0.49608799999999997</v>
      </c>
      <c r="H79" s="6" t="s">
        <v>65</v>
      </c>
      <c r="I79" s="6" t="s">
        <v>46</v>
      </c>
      <c r="J79" s="178">
        <v>0.477941</v>
      </c>
      <c r="N79" s="6" t="s">
        <v>65</v>
      </c>
      <c r="O79" s="6" t="s">
        <v>46</v>
      </c>
      <c r="P79" s="178">
        <v>0.4556</v>
      </c>
      <c r="T79" s="6" t="s">
        <v>65</v>
      </c>
      <c r="U79" s="6" t="s">
        <v>46</v>
      </c>
      <c r="V79" s="178">
        <v>0.46927999999999997</v>
      </c>
      <c r="Z79" s="6" t="s">
        <v>65</v>
      </c>
      <c r="AA79" s="6" t="s">
        <v>46</v>
      </c>
      <c r="AB79" s="178">
        <v>0.432861</v>
      </c>
    </row>
    <row r="80" spans="2:28" x14ac:dyDescent="0.25">
      <c r="B80" s="6" t="s">
        <v>66</v>
      </c>
      <c r="C80" s="6" t="s">
        <v>46</v>
      </c>
      <c r="D80" s="178">
        <f t="shared" si="4"/>
        <v>0.84534600000000004</v>
      </c>
      <c r="H80" s="6" t="s">
        <v>66</v>
      </c>
      <c r="I80" s="6" t="s">
        <v>46</v>
      </c>
      <c r="J80" s="178">
        <v>0.84532399999999996</v>
      </c>
      <c r="N80" s="6" t="s">
        <v>66</v>
      </c>
      <c r="O80" s="6" t="s">
        <v>46</v>
      </c>
      <c r="P80" s="178">
        <v>0.88722000000000001</v>
      </c>
      <c r="T80" s="6" t="s">
        <v>66</v>
      </c>
      <c r="U80" s="6" t="s">
        <v>46</v>
      </c>
      <c r="V80" s="178">
        <v>0.86371299999999995</v>
      </c>
      <c r="Z80" s="6" t="s">
        <v>66</v>
      </c>
      <c r="AA80" s="6" t="s">
        <v>46</v>
      </c>
      <c r="AB80" s="178">
        <v>0.78814899999999999</v>
      </c>
    </row>
    <row r="81" spans="2:28" x14ac:dyDescent="0.25">
      <c r="B81" s="6" t="s">
        <v>67</v>
      </c>
      <c r="C81" s="6" t="s">
        <v>46</v>
      </c>
      <c r="D81" s="178">
        <f t="shared" si="4"/>
        <v>0.57434200000000002</v>
      </c>
      <c r="H81" s="6" t="s">
        <v>67</v>
      </c>
      <c r="I81" s="6" t="s">
        <v>46</v>
      </c>
      <c r="J81" s="178">
        <v>0.56698400000000004</v>
      </c>
      <c r="N81" s="6" t="s">
        <v>67</v>
      </c>
      <c r="O81" s="6" t="s">
        <v>46</v>
      </c>
      <c r="P81" s="178">
        <v>0.58658299999999997</v>
      </c>
      <c r="T81" s="6" t="s">
        <v>67</v>
      </c>
      <c r="U81" s="6" t="s">
        <v>46</v>
      </c>
      <c r="V81" s="178">
        <v>0.58969400000000005</v>
      </c>
      <c r="Z81" s="6" t="s">
        <v>67</v>
      </c>
      <c r="AA81" s="6" t="s">
        <v>46</v>
      </c>
      <c r="AB81" s="178">
        <v>0.50876399999999999</v>
      </c>
    </row>
    <row r="82" spans="2:28" x14ac:dyDescent="0.25">
      <c r="B82" s="6" t="s">
        <v>68</v>
      </c>
      <c r="C82" s="6" t="s">
        <v>46</v>
      </c>
      <c r="D82" s="178">
        <f t="shared" si="4"/>
        <v>1.4196880000000001</v>
      </c>
      <c r="H82" s="6" t="s">
        <v>68</v>
      </c>
      <c r="I82" s="6" t="s">
        <v>46</v>
      </c>
      <c r="J82" s="178">
        <v>1.4123079999999999</v>
      </c>
      <c r="N82" s="6" t="s">
        <v>68</v>
      </c>
      <c r="O82" s="6" t="s">
        <v>46</v>
      </c>
      <c r="P82" s="178">
        <v>1.473803</v>
      </c>
      <c r="T82" s="6" t="s">
        <v>68</v>
      </c>
      <c r="U82" s="6" t="s">
        <v>46</v>
      </c>
      <c r="V82" s="178">
        <v>1.4534069999999999</v>
      </c>
      <c r="Z82" s="6" t="s">
        <v>68</v>
      </c>
      <c r="AA82" s="6" t="s">
        <v>46</v>
      </c>
      <c r="AB82" s="178">
        <v>1.2969139999999999</v>
      </c>
    </row>
    <row r="83" spans="2:28" x14ac:dyDescent="0.25">
      <c r="B83" s="6" t="s">
        <v>69</v>
      </c>
      <c r="C83" s="6" t="s">
        <v>70</v>
      </c>
      <c r="D83" s="178">
        <f t="shared" si="4"/>
        <v>6.9883790000000001</v>
      </c>
      <c r="H83" s="6" t="s">
        <v>69</v>
      </c>
      <c r="I83" s="6" t="s">
        <v>70</v>
      </c>
      <c r="J83" s="178">
        <v>6.9894769999999999</v>
      </c>
      <c r="N83" s="6" t="s">
        <v>69</v>
      </c>
      <c r="O83" s="6" t="s">
        <v>70</v>
      </c>
      <c r="P83" s="178">
        <v>7.0039550000000004</v>
      </c>
      <c r="T83" s="6" t="s">
        <v>69</v>
      </c>
      <c r="U83" s="6" t="s">
        <v>70</v>
      </c>
      <c r="V83" s="178">
        <v>7.0015840000000003</v>
      </c>
      <c r="Z83" s="6" t="s">
        <v>69</v>
      </c>
      <c r="AA83" s="6" t="s">
        <v>70</v>
      </c>
      <c r="AB83" s="178">
        <v>7.0004390000000001</v>
      </c>
    </row>
    <row r="84" spans="2:28" x14ac:dyDescent="0.25">
      <c r="B84" s="15" t="s">
        <v>71</v>
      </c>
      <c r="C84" s="15" t="s">
        <v>72</v>
      </c>
      <c r="D84" s="179">
        <f t="shared" si="4"/>
        <v>3.1045210000000001</v>
      </c>
      <c r="H84" s="15" t="s">
        <v>71</v>
      </c>
      <c r="I84" s="15" t="s">
        <v>72</v>
      </c>
      <c r="J84" s="179">
        <v>3.1048019999999998</v>
      </c>
      <c r="N84" s="15" t="s">
        <v>71</v>
      </c>
      <c r="O84" s="15" t="s">
        <v>72</v>
      </c>
      <c r="P84" s="179">
        <v>3.1129980000000002</v>
      </c>
      <c r="T84" s="15" t="s">
        <v>71</v>
      </c>
      <c r="U84" s="15" t="s">
        <v>72</v>
      </c>
      <c r="V84" s="179">
        <v>3.1101930000000002</v>
      </c>
      <c r="Z84" s="15" t="s">
        <v>71</v>
      </c>
      <c r="AA84" s="15" t="s">
        <v>72</v>
      </c>
      <c r="AB84" s="179">
        <v>3.1112519999999999</v>
      </c>
    </row>
    <row r="85" spans="2:28" x14ac:dyDescent="0.25">
      <c r="B85" s="18" t="s">
        <v>73</v>
      </c>
      <c r="C85" s="18" t="s">
        <v>72</v>
      </c>
      <c r="D85" s="180">
        <f t="shared" si="4"/>
        <v>2.9766859999999999</v>
      </c>
      <c r="H85" s="18" t="s">
        <v>73</v>
      </c>
      <c r="I85" s="18" t="s">
        <v>72</v>
      </c>
      <c r="J85" s="180">
        <v>2.9875470000000002</v>
      </c>
      <c r="N85" s="18" t="s">
        <v>73</v>
      </c>
      <c r="O85" s="18" t="s">
        <v>72</v>
      </c>
      <c r="P85" s="180">
        <v>3.0409670000000002</v>
      </c>
      <c r="T85" s="18" t="s">
        <v>73</v>
      </c>
      <c r="U85" s="18" t="s">
        <v>72</v>
      </c>
      <c r="V85" s="180">
        <v>3.0336069999999999</v>
      </c>
      <c r="Z85" s="18" t="s">
        <v>73</v>
      </c>
      <c r="AA85" s="18" t="s">
        <v>72</v>
      </c>
      <c r="AB85" s="180">
        <v>3.0430030000000001</v>
      </c>
    </row>
    <row r="86" spans="2:28" x14ac:dyDescent="0.25">
      <c r="B86" s="6" t="s">
        <v>74</v>
      </c>
      <c r="C86" s="6" t="s">
        <v>19</v>
      </c>
      <c r="D86" s="178">
        <f t="shared" si="4"/>
        <v>0.22706299999999999</v>
      </c>
      <c r="H86" s="6" t="s">
        <v>74</v>
      </c>
      <c r="I86" s="6" t="s">
        <v>19</v>
      </c>
      <c r="J86" s="178">
        <v>0.22314700000000001</v>
      </c>
      <c r="N86" s="6" t="s">
        <v>74</v>
      </c>
      <c r="O86" s="6" t="s">
        <v>19</v>
      </c>
      <c r="P86" s="178">
        <v>0.23363</v>
      </c>
      <c r="T86" s="6" t="s">
        <v>74</v>
      </c>
      <c r="U86" s="6" t="s">
        <v>19</v>
      </c>
      <c r="V86" s="178">
        <v>0.21046000000000001</v>
      </c>
      <c r="Z86" s="6" t="s">
        <v>74</v>
      </c>
      <c r="AA86" s="6" t="s">
        <v>19</v>
      </c>
      <c r="AB86" s="178">
        <v>0.201151</v>
      </c>
    </row>
    <row r="87" spans="2:28" x14ac:dyDescent="0.25">
      <c r="B87" s="6" t="s">
        <v>75</v>
      </c>
      <c r="C87" s="6" t="s">
        <v>19</v>
      </c>
      <c r="D87" s="178">
        <f t="shared" si="4"/>
        <v>0.22712399999999999</v>
      </c>
      <c r="H87" s="6" t="s">
        <v>75</v>
      </c>
      <c r="I87" s="6" t="s">
        <v>19</v>
      </c>
      <c r="J87" s="178">
        <v>0.22689400000000001</v>
      </c>
      <c r="N87" s="6" t="s">
        <v>75</v>
      </c>
      <c r="O87" s="6" t="s">
        <v>19</v>
      </c>
      <c r="P87" s="178">
        <v>0.26606000000000002</v>
      </c>
      <c r="T87" s="6" t="s">
        <v>75</v>
      </c>
      <c r="U87" s="6" t="s">
        <v>19</v>
      </c>
      <c r="V87" s="178">
        <v>0.24421799999999999</v>
      </c>
      <c r="Z87" s="6" t="s">
        <v>75</v>
      </c>
      <c r="AA87" s="6" t="s">
        <v>19</v>
      </c>
      <c r="AB87" s="178">
        <v>0.23233100000000001</v>
      </c>
    </row>
    <row r="88" spans="2:28" x14ac:dyDescent="0.25">
      <c r="B88" s="6" t="s">
        <v>76</v>
      </c>
      <c r="C88" s="6" t="s">
        <v>19</v>
      </c>
      <c r="D88" s="178">
        <f t="shared" si="4"/>
        <v>0.45418599999999998</v>
      </c>
      <c r="H88" s="6" t="s">
        <v>76</v>
      </c>
      <c r="I88" s="6" t="s">
        <v>19</v>
      </c>
      <c r="J88" s="178">
        <v>0.45004100000000002</v>
      </c>
      <c r="N88" s="6" t="s">
        <v>76</v>
      </c>
      <c r="O88" s="6" t="s">
        <v>19</v>
      </c>
      <c r="P88" s="178">
        <v>0.49969000000000002</v>
      </c>
      <c r="T88" s="6" t="s">
        <v>76</v>
      </c>
      <c r="U88" s="6" t="s">
        <v>19</v>
      </c>
      <c r="V88" s="178">
        <v>0.45467800000000003</v>
      </c>
      <c r="Z88" s="6" t="s">
        <v>76</v>
      </c>
      <c r="AA88" s="6" t="s">
        <v>19</v>
      </c>
      <c r="AB88" s="178">
        <v>0.43348199999999998</v>
      </c>
    </row>
    <row r="89" spans="2:28" x14ac:dyDescent="0.25">
      <c r="B89" s="6" t="s">
        <v>77</v>
      </c>
      <c r="C89" s="6" t="s">
        <v>19</v>
      </c>
      <c r="D89" s="178">
        <f t="shared" si="4"/>
        <v>0.43827199999999999</v>
      </c>
      <c r="H89" s="6" t="s">
        <v>77</v>
      </c>
      <c r="I89" s="6" t="s">
        <v>19</v>
      </c>
      <c r="J89" s="178">
        <v>0.43514399999999998</v>
      </c>
      <c r="N89" s="6" t="s">
        <v>77</v>
      </c>
      <c r="O89" s="6" t="s">
        <v>19</v>
      </c>
      <c r="P89" s="178">
        <v>0.43755500000000003</v>
      </c>
      <c r="T89" s="6" t="s">
        <v>77</v>
      </c>
      <c r="U89" s="6" t="s">
        <v>19</v>
      </c>
      <c r="V89" s="178">
        <v>0.43683899999999998</v>
      </c>
      <c r="Z89" s="6" t="s">
        <v>77</v>
      </c>
      <c r="AA89" s="6" t="s">
        <v>19</v>
      </c>
      <c r="AB89" s="178">
        <v>0.43912800000000002</v>
      </c>
    </row>
    <row r="90" spans="2:28" x14ac:dyDescent="0.25">
      <c r="B90" s="6" t="s">
        <v>78</v>
      </c>
      <c r="C90" s="6" t="s">
        <v>19</v>
      </c>
      <c r="D90" s="178">
        <f t="shared" si="4"/>
        <v>0.12923799999999999</v>
      </c>
      <c r="H90" s="6" t="s">
        <v>78</v>
      </c>
      <c r="I90" s="6" t="s">
        <v>19</v>
      </c>
      <c r="J90" s="178">
        <v>0.129275</v>
      </c>
      <c r="N90" s="6" t="s">
        <v>78</v>
      </c>
      <c r="O90" s="6" t="s">
        <v>19</v>
      </c>
      <c r="P90" s="178">
        <v>0.14677999999999999</v>
      </c>
      <c r="T90" s="6" t="s">
        <v>78</v>
      </c>
      <c r="U90" s="6" t="s">
        <v>19</v>
      </c>
      <c r="V90" s="178">
        <v>0.13591300000000001</v>
      </c>
      <c r="Z90" s="6" t="s">
        <v>78</v>
      </c>
      <c r="AA90" s="6" t="s">
        <v>19</v>
      </c>
      <c r="AB90" s="178">
        <v>0.13559199999999999</v>
      </c>
    </row>
    <row r="91" spans="2:28" x14ac:dyDescent="0.25">
      <c r="B91" s="6" t="s">
        <v>79</v>
      </c>
      <c r="C91" s="6" t="s">
        <v>19</v>
      </c>
      <c r="D91" s="178">
        <f t="shared" ref="D91:D122" si="5">IFERROR(VLOOKUP(B91,raw_2,4,FALSE),0)</f>
        <v>0.454739</v>
      </c>
      <c r="H91" s="6" t="s">
        <v>79</v>
      </c>
      <c r="I91" s="6" t="s">
        <v>19</v>
      </c>
      <c r="J91" s="178">
        <v>0.45222000000000001</v>
      </c>
      <c r="N91" s="6" t="s">
        <v>79</v>
      </c>
      <c r="O91" s="6" t="s">
        <v>19</v>
      </c>
      <c r="P91" s="178">
        <v>0.47737499999999999</v>
      </c>
      <c r="T91" s="6" t="s">
        <v>79</v>
      </c>
      <c r="U91" s="6" t="s">
        <v>19</v>
      </c>
      <c r="V91" s="178">
        <v>0.46830100000000002</v>
      </c>
      <c r="Z91" s="6" t="s">
        <v>79</v>
      </c>
      <c r="AA91" s="6" t="s">
        <v>19</v>
      </c>
      <c r="AB91" s="178">
        <v>0.43418099999999998</v>
      </c>
    </row>
    <row r="92" spans="2:28" x14ac:dyDescent="0.25">
      <c r="B92" s="6" t="s">
        <v>80</v>
      </c>
      <c r="C92" s="6" t="s">
        <v>19</v>
      </c>
      <c r="D92" s="178">
        <f t="shared" si="5"/>
        <v>0.59130499999999997</v>
      </c>
      <c r="H92" s="6" t="s">
        <v>80</v>
      </c>
      <c r="I92" s="6" t="s">
        <v>19</v>
      </c>
      <c r="J92" s="178">
        <v>0.58544600000000002</v>
      </c>
      <c r="N92" s="6" t="s">
        <v>80</v>
      </c>
      <c r="O92" s="6" t="s">
        <v>19</v>
      </c>
      <c r="P92" s="178">
        <v>0.60412999999999994</v>
      </c>
      <c r="T92" s="6" t="s">
        <v>80</v>
      </c>
      <c r="U92" s="6" t="s">
        <v>19</v>
      </c>
      <c r="V92" s="178">
        <v>0.59089499999999995</v>
      </c>
      <c r="Z92" s="6" t="s">
        <v>80</v>
      </c>
      <c r="AA92" s="6" t="s">
        <v>19</v>
      </c>
      <c r="AB92" s="178">
        <v>0.54111500000000001</v>
      </c>
    </row>
    <row r="93" spans="2:28" x14ac:dyDescent="0.25">
      <c r="B93" s="6" t="s">
        <v>81</v>
      </c>
      <c r="C93" s="6" t="s">
        <v>19</v>
      </c>
      <c r="D93" s="178">
        <f t="shared" si="5"/>
        <v>1.1730959999999999</v>
      </c>
      <c r="H93" s="6" t="s">
        <v>81</v>
      </c>
      <c r="I93" s="6" t="s">
        <v>19</v>
      </c>
      <c r="J93" s="178">
        <v>1.1322730000000001</v>
      </c>
      <c r="N93" s="6" t="s">
        <v>81</v>
      </c>
      <c r="O93" s="6" t="s">
        <v>19</v>
      </c>
      <c r="P93" s="178">
        <v>1.018195</v>
      </c>
      <c r="T93" s="6" t="s">
        <v>81</v>
      </c>
      <c r="U93" s="6" t="s">
        <v>19</v>
      </c>
      <c r="V93" s="178">
        <v>1.011379</v>
      </c>
      <c r="Z93" s="6" t="s">
        <v>81</v>
      </c>
      <c r="AA93" s="6" t="s">
        <v>19</v>
      </c>
      <c r="AB93" s="178">
        <v>0.82782100000000003</v>
      </c>
    </row>
    <row r="94" spans="2:28" x14ac:dyDescent="0.25">
      <c r="B94" s="6" t="s">
        <v>185</v>
      </c>
      <c r="C94" s="6" t="s">
        <v>19</v>
      </c>
      <c r="D94" s="178">
        <f t="shared" si="5"/>
        <v>0.77680499999999997</v>
      </c>
      <c r="H94" s="6" t="s">
        <v>185</v>
      </c>
      <c r="I94" s="6" t="s">
        <v>19</v>
      </c>
      <c r="J94" s="178">
        <v>0.74981100000000001</v>
      </c>
      <c r="N94" s="6" t="s">
        <v>185</v>
      </c>
      <c r="O94" s="6" t="s">
        <v>19</v>
      </c>
      <c r="P94" s="178">
        <v>0.71292999999999995</v>
      </c>
      <c r="T94" s="6" t="s">
        <v>185</v>
      </c>
      <c r="U94" s="6" t="s">
        <v>19</v>
      </c>
      <c r="V94" s="178">
        <v>0.82282299999999997</v>
      </c>
      <c r="Z94" s="6" t="s">
        <v>185</v>
      </c>
      <c r="AA94" s="6" t="s">
        <v>19</v>
      </c>
      <c r="AB94" s="178">
        <v>0.81385200000000002</v>
      </c>
    </row>
    <row r="95" spans="2:28" x14ac:dyDescent="0.25">
      <c r="B95" s="6" t="s">
        <v>186</v>
      </c>
      <c r="C95" s="6" t="s">
        <v>19</v>
      </c>
      <c r="D95" s="178">
        <f t="shared" si="5"/>
        <v>0.34668500000000002</v>
      </c>
      <c r="H95" s="6" t="s">
        <v>186</v>
      </c>
      <c r="I95" s="6" t="s">
        <v>19</v>
      </c>
      <c r="J95" s="178">
        <v>0.33405600000000002</v>
      </c>
      <c r="N95" s="6" t="s">
        <v>186</v>
      </c>
      <c r="O95" s="6" t="s">
        <v>19</v>
      </c>
      <c r="P95" s="178">
        <v>0.31909999999999999</v>
      </c>
      <c r="T95" s="6" t="s">
        <v>186</v>
      </c>
      <c r="U95" s="6" t="s">
        <v>19</v>
      </c>
      <c r="V95" s="178">
        <v>0.32856999999999997</v>
      </c>
      <c r="Z95" s="6" t="s">
        <v>186</v>
      </c>
      <c r="AA95" s="6" t="s">
        <v>19</v>
      </c>
      <c r="AB95" s="178">
        <v>0.30302200000000001</v>
      </c>
    </row>
    <row r="96" spans="2:28" x14ac:dyDescent="0.25">
      <c r="B96" s="6" t="s">
        <v>187</v>
      </c>
      <c r="C96" s="6" t="s">
        <v>19</v>
      </c>
      <c r="D96" s="178">
        <f t="shared" si="5"/>
        <v>0.59075999999999995</v>
      </c>
      <c r="H96" s="6" t="s">
        <v>187</v>
      </c>
      <c r="I96" s="6" t="s">
        <v>19</v>
      </c>
      <c r="J96" s="178">
        <v>0.59083699999999995</v>
      </c>
      <c r="N96" s="6" t="s">
        <v>187</v>
      </c>
      <c r="O96" s="6" t="s">
        <v>19</v>
      </c>
      <c r="P96" s="178">
        <v>0.62140499999999999</v>
      </c>
      <c r="T96" s="6" t="s">
        <v>187</v>
      </c>
      <c r="U96" s="6" t="s">
        <v>19</v>
      </c>
      <c r="V96" s="178">
        <v>0.60473600000000005</v>
      </c>
      <c r="Z96" s="6" t="s">
        <v>187</v>
      </c>
      <c r="AA96" s="6" t="s">
        <v>19</v>
      </c>
      <c r="AB96" s="178">
        <v>0.55173899999999998</v>
      </c>
    </row>
    <row r="97" spans="2:29" x14ac:dyDescent="0.25">
      <c r="B97" s="6" t="s">
        <v>188</v>
      </c>
      <c r="C97" s="6" t="s">
        <v>19</v>
      </c>
      <c r="D97" s="178">
        <f t="shared" si="5"/>
        <v>0.40137200000000001</v>
      </c>
      <c r="H97" s="6" t="s">
        <v>188</v>
      </c>
      <c r="I97" s="6" t="s">
        <v>19</v>
      </c>
      <c r="J97" s="178">
        <v>0.39629199999999998</v>
      </c>
      <c r="N97" s="6" t="s">
        <v>188</v>
      </c>
      <c r="O97" s="6" t="s">
        <v>19</v>
      </c>
      <c r="P97" s="178">
        <v>0.41083999999999998</v>
      </c>
      <c r="T97" s="6" t="s">
        <v>188</v>
      </c>
      <c r="U97" s="6" t="s">
        <v>19</v>
      </c>
      <c r="V97" s="178">
        <v>0.41288000000000002</v>
      </c>
      <c r="Z97" s="6" t="s">
        <v>188</v>
      </c>
      <c r="AA97" s="6" t="s">
        <v>19</v>
      </c>
      <c r="AB97" s="178">
        <v>0.356157</v>
      </c>
    </row>
    <row r="98" spans="2:29" x14ac:dyDescent="0.25">
      <c r="B98" s="6" t="s">
        <v>189</v>
      </c>
      <c r="C98" s="6" t="s">
        <v>19</v>
      </c>
      <c r="D98" s="178">
        <f t="shared" si="5"/>
        <v>0.99213200000000001</v>
      </c>
      <c r="H98" s="6" t="s">
        <v>189</v>
      </c>
      <c r="I98" s="6" t="s">
        <v>19</v>
      </c>
      <c r="J98" s="178">
        <v>0.98712900000000003</v>
      </c>
      <c r="N98" s="6" t="s">
        <v>189</v>
      </c>
      <c r="O98" s="6" t="s">
        <v>19</v>
      </c>
      <c r="P98" s="178">
        <v>1.0322450000000001</v>
      </c>
      <c r="T98" s="6" t="s">
        <v>189</v>
      </c>
      <c r="U98" s="6" t="s">
        <v>19</v>
      </c>
      <c r="V98" s="178">
        <v>1.0176149999999999</v>
      </c>
      <c r="Z98" s="6" t="s">
        <v>189</v>
      </c>
      <c r="AA98" s="6" t="s">
        <v>19</v>
      </c>
      <c r="AB98" s="178">
        <v>0.90789600000000004</v>
      </c>
    </row>
    <row r="99" spans="2:29" x14ac:dyDescent="0.25">
      <c r="B99" s="6" t="s">
        <v>82</v>
      </c>
      <c r="C99" s="6" t="s">
        <v>83</v>
      </c>
      <c r="D99" s="184">
        <f t="shared" si="5"/>
        <v>150</v>
      </c>
      <c r="E99" s="184"/>
      <c r="H99" s="6" t="s">
        <v>82</v>
      </c>
      <c r="I99" s="6" t="s">
        <v>83</v>
      </c>
      <c r="J99" s="184">
        <v>150</v>
      </c>
      <c r="K99" s="184"/>
      <c r="N99" s="6" t="s">
        <v>82</v>
      </c>
      <c r="O99" s="6" t="s">
        <v>83</v>
      </c>
      <c r="P99" s="184">
        <v>150</v>
      </c>
      <c r="Q99" s="184"/>
      <c r="T99" s="6" t="s">
        <v>82</v>
      </c>
      <c r="U99" s="6" t="s">
        <v>83</v>
      </c>
      <c r="V99" s="184">
        <v>150</v>
      </c>
      <c r="W99" s="184"/>
      <c r="Z99" s="6" t="s">
        <v>82</v>
      </c>
      <c r="AA99" s="6" t="s">
        <v>83</v>
      </c>
      <c r="AB99" s="184">
        <v>150</v>
      </c>
      <c r="AC99" s="184"/>
    </row>
    <row r="100" spans="2:29" x14ac:dyDescent="0.25">
      <c r="B100" s="6" t="s">
        <v>84</v>
      </c>
      <c r="C100" s="6" t="s">
        <v>83</v>
      </c>
      <c r="D100" s="184">
        <f t="shared" si="5"/>
        <v>115.8</v>
      </c>
      <c r="E100" s="184"/>
      <c r="H100" s="6" t="s">
        <v>84</v>
      </c>
      <c r="I100" s="6" t="s">
        <v>83</v>
      </c>
      <c r="J100" s="184">
        <v>115.8</v>
      </c>
      <c r="K100" s="184"/>
      <c r="N100" s="6" t="s">
        <v>84</v>
      </c>
      <c r="O100" s="6" t="s">
        <v>83</v>
      </c>
      <c r="P100" s="184">
        <v>115.8</v>
      </c>
      <c r="Q100" s="184"/>
      <c r="T100" s="6" t="s">
        <v>84</v>
      </c>
      <c r="U100" s="6" t="s">
        <v>83</v>
      </c>
      <c r="V100" s="184">
        <v>115.8</v>
      </c>
      <c r="W100" s="184"/>
      <c r="Z100" s="6" t="s">
        <v>84</v>
      </c>
      <c r="AA100" s="6" t="s">
        <v>83</v>
      </c>
      <c r="AB100" s="184">
        <v>115.8</v>
      </c>
      <c r="AC100" s="184"/>
    </row>
    <row r="101" spans="2:29" x14ac:dyDescent="0.25">
      <c r="B101" s="6" t="s">
        <v>85</v>
      </c>
      <c r="C101" s="6" t="s">
        <v>83</v>
      </c>
      <c r="D101" s="184">
        <f t="shared" si="5"/>
        <v>120</v>
      </c>
      <c r="E101" s="184"/>
      <c r="H101" s="6" t="s">
        <v>85</v>
      </c>
      <c r="I101" s="6" t="s">
        <v>83</v>
      </c>
      <c r="J101" s="184">
        <v>120</v>
      </c>
      <c r="K101" s="184"/>
      <c r="N101" s="6" t="s">
        <v>85</v>
      </c>
      <c r="O101" s="6" t="s">
        <v>83</v>
      </c>
      <c r="P101" s="184">
        <v>120</v>
      </c>
      <c r="Q101" s="184"/>
      <c r="T101" s="6" t="s">
        <v>85</v>
      </c>
      <c r="U101" s="6" t="s">
        <v>83</v>
      </c>
      <c r="V101" s="184">
        <v>120</v>
      </c>
      <c r="W101" s="184"/>
      <c r="Z101" s="6" t="s">
        <v>85</v>
      </c>
      <c r="AA101" s="6" t="s">
        <v>83</v>
      </c>
      <c r="AB101" s="184">
        <v>120</v>
      </c>
      <c r="AC101" s="184"/>
    </row>
    <row r="102" spans="2:29" x14ac:dyDescent="0.25">
      <c r="B102" s="6" t="s">
        <v>86</v>
      </c>
      <c r="C102" s="6" t="s">
        <v>83</v>
      </c>
      <c r="D102" s="184">
        <f t="shared" si="5"/>
        <v>40.000500000000002</v>
      </c>
      <c r="E102" s="184"/>
      <c r="H102" s="6" t="s">
        <v>86</v>
      </c>
      <c r="I102" s="6" t="s">
        <v>83</v>
      </c>
      <c r="J102" s="184">
        <v>40.000500000000002</v>
      </c>
      <c r="K102" s="184"/>
      <c r="N102" s="6" t="s">
        <v>86</v>
      </c>
      <c r="O102" s="6" t="s">
        <v>83</v>
      </c>
      <c r="P102" s="184">
        <v>40.000500000000002</v>
      </c>
      <c r="Q102" s="184"/>
      <c r="T102" s="6" t="s">
        <v>86</v>
      </c>
      <c r="U102" s="6" t="s">
        <v>83</v>
      </c>
      <c r="V102" s="184">
        <v>40.000500000000002</v>
      </c>
      <c r="W102" s="184"/>
      <c r="Z102" s="6" t="s">
        <v>86</v>
      </c>
      <c r="AA102" s="6" t="s">
        <v>83</v>
      </c>
      <c r="AB102" s="184">
        <v>40.000500000000002</v>
      </c>
      <c r="AC102" s="184"/>
    </row>
    <row r="103" spans="2:29" x14ac:dyDescent="0.25">
      <c r="B103" s="15" t="s">
        <v>87</v>
      </c>
      <c r="C103" s="15" t="s">
        <v>83</v>
      </c>
      <c r="D103" s="179">
        <f t="shared" si="5"/>
        <v>0.3</v>
      </c>
      <c r="H103" s="15" t="s">
        <v>87</v>
      </c>
      <c r="I103" s="15" t="s">
        <v>83</v>
      </c>
      <c r="J103" s="179">
        <v>0.3</v>
      </c>
      <c r="N103" s="15" t="s">
        <v>87</v>
      </c>
      <c r="O103" s="15" t="s">
        <v>83</v>
      </c>
      <c r="P103" s="179">
        <v>0.3</v>
      </c>
      <c r="T103" s="15" t="s">
        <v>87</v>
      </c>
      <c r="U103" s="15" t="s">
        <v>83</v>
      </c>
      <c r="V103" s="179">
        <v>0.3</v>
      </c>
      <c r="Z103" s="15" t="s">
        <v>87</v>
      </c>
      <c r="AA103" s="15" t="s">
        <v>83</v>
      </c>
      <c r="AB103" s="179">
        <v>0.3</v>
      </c>
    </row>
    <row r="104" spans="2:29" x14ac:dyDescent="0.25">
      <c r="B104" s="6" t="s">
        <v>88</v>
      </c>
      <c r="C104" s="6" t="s">
        <v>83</v>
      </c>
      <c r="D104" s="184">
        <f t="shared" si="5"/>
        <v>1.0004999999999999</v>
      </c>
      <c r="E104" s="184"/>
      <c r="H104" s="6" t="s">
        <v>88</v>
      </c>
      <c r="I104" s="6" t="s">
        <v>83</v>
      </c>
      <c r="J104" s="184">
        <v>1.0004999999999999</v>
      </c>
      <c r="K104" s="184"/>
      <c r="N104" s="6" t="s">
        <v>88</v>
      </c>
      <c r="O104" s="6" t="s">
        <v>83</v>
      </c>
      <c r="P104" s="184">
        <v>1.0004999999999999</v>
      </c>
      <c r="Q104" s="184"/>
      <c r="T104" s="6" t="s">
        <v>88</v>
      </c>
      <c r="U104" s="6" t="s">
        <v>83</v>
      </c>
      <c r="V104" s="184">
        <v>1.0004999999999999</v>
      </c>
      <c r="W104" s="184"/>
      <c r="Z104" s="6" t="s">
        <v>88</v>
      </c>
      <c r="AA104" s="6" t="s">
        <v>83</v>
      </c>
      <c r="AB104" s="184">
        <v>1.0004999999999999</v>
      </c>
      <c r="AC104" s="184"/>
    </row>
    <row r="105" spans="2:29" ht="15.75" hidden="1" customHeight="1" x14ac:dyDescent="0.25">
      <c r="B105" s="6" t="s">
        <v>89</v>
      </c>
      <c r="C105" s="6" t="s">
        <v>90</v>
      </c>
      <c r="D105" s="185">
        <f t="shared" si="5"/>
        <v>12000</v>
      </c>
      <c r="E105" s="185"/>
      <c r="H105" s="6" t="s">
        <v>89</v>
      </c>
      <c r="I105" s="6" t="s">
        <v>90</v>
      </c>
      <c r="J105" s="185">
        <v>12000</v>
      </c>
      <c r="K105" s="185"/>
      <c r="N105" s="6" t="s">
        <v>89</v>
      </c>
      <c r="O105" s="6" t="s">
        <v>90</v>
      </c>
      <c r="P105" s="185">
        <v>12000</v>
      </c>
      <c r="Q105" s="185"/>
      <c r="T105" s="6" t="s">
        <v>89</v>
      </c>
      <c r="U105" s="6" t="s">
        <v>90</v>
      </c>
      <c r="V105" s="185">
        <v>12000</v>
      </c>
      <c r="W105" s="185"/>
      <c r="Z105" s="6" t="s">
        <v>89</v>
      </c>
      <c r="AA105" s="6" t="s">
        <v>90</v>
      </c>
      <c r="AB105" s="185">
        <v>12000</v>
      </c>
      <c r="AC105" s="185"/>
    </row>
    <row r="106" spans="2:29" ht="15.75" hidden="1" customHeight="1" x14ac:dyDescent="0.25">
      <c r="B106" s="6" t="s">
        <v>91</v>
      </c>
      <c r="C106" s="6" t="s">
        <v>90</v>
      </c>
      <c r="D106" s="185">
        <f t="shared" si="5"/>
        <v>1500</v>
      </c>
      <c r="E106" s="185"/>
      <c r="H106" s="6" t="s">
        <v>91</v>
      </c>
      <c r="I106" s="6" t="s">
        <v>90</v>
      </c>
      <c r="J106" s="185">
        <v>1500</v>
      </c>
      <c r="K106" s="185"/>
      <c r="N106" s="6" t="s">
        <v>91</v>
      </c>
      <c r="O106" s="6" t="s">
        <v>90</v>
      </c>
      <c r="P106" s="185">
        <v>1500</v>
      </c>
      <c r="Q106" s="185"/>
      <c r="T106" s="6" t="s">
        <v>91</v>
      </c>
      <c r="U106" s="6" t="s">
        <v>90</v>
      </c>
      <c r="V106" s="185">
        <v>1500</v>
      </c>
      <c r="W106" s="185"/>
      <c r="Z106" s="6" t="s">
        <v>91</v>
      </c>
      <c r="AA106" s="6" t="s">
        <v>90</v>
      </c>
      <c r="AB106" s="185">
        <v>1500</v>
      </c>
      <c r="AC106" s="185"/>
    </row>
    <row r="107" spans="2:29" ht="15.75" hidden="1" customHeight="1" x14ac:dyDescent="0.25">
      <c r="B107" s="6" t="s">
        <v>92</v>
      </c>
      <c r="C107" s="6" t="s">
        <v>90</v>
      </c>
      <c r="D107" s="185">
        <f t="shared" si="5"/>
        <v>49.999499999999998</v>
      </c>
      <c r="E107" s="185"/>
      <c r="H107" s="6" t="s">
        <v>92</v>
      </c>
      <c r="I107" s="6" t="s">
        <v>90</v>
      </c>
      <c r="J107" s="185">
        <v>49.999499999999998</v>
      </c>
      <c r="K107" s="185"/>
      <c r="N107" s="6" t="s">
        <v>92</v>
      </c>
      <c r="O107" s="6" t="s">
        <v>90</v>
      </c>
      <c r="P107" s="185">
        <v>49.999499999999998</v>
      </c>
      <c r="Q107" s="185"/>
      <c r="T107" s="6" t="s">
        <v>92</v>
      </c>
      <c r="U107" s="6" t="s">
        <v>90</v>
      </c>
      <c r="V107" s="185">
        <v>49.999499999999998</v>
      </c>
      <c r="W107" s="185"/>
      <c r="Z107" s="6" t="s">
        <v>92</v>
      </c>
      <c r="AA107" s="6" t="s">
        <v>90</v>
      </c>
      <c r="AB107" s="185">
        <v>49.999499999999998</v>
      </c>
      <c r="AC107" s="185"/>
    </row>
    <row r="108" spans="2:29" ht="15.75" hidden="1" customHeight="1" x14ac:dyDescent="0.25">
      <c r="B108" s="6" t="s">
        <v>93</v>
      </c>
      <c r="C108" s="6" t="s">
        <v>83</v>
      </c>
      <c r="D108" s="184">
        <f t="shared" si="5"/>
        <v>4.5</v>
      </c>
      <c r="E108" s="184"/>
      <c r="H108" s="6" t="s">
        <v>93</v>
      </c>
      <c r="I108" s="6" t="s">
        <v>83</v>
      </c>
      <c r="J108" s="184">
        <v>4.5</v>
      </c>
      <c r="K108" s="184"/>
      <c r="N108" s="6" t="s">
        <v>93</v>
      </c>
      <c r="O108" s="6" t="s">
        <v>83</v>
      </c>
      <c r="P108" s="184">
        <v>4.5</v>
      </c>
      <c r="Q108" s="184"/>
      <c r="T108" s="6" t="s">
        <v>93</v>
      </c>
      <c r="U108" s="6" t="s">
        <v>83</v>
      </c>
      <c r="V108" s="184">
        <v>4.5</v>
      </c>
      <c r="W108" s="184"/>
      <c r="Z108" s="6" t="s">
        <v>93</v>
      </c>
      <c r="AA108" s="6" t="s">
        <v>83</v>
      </c>
      <c r="AB108" s="184">
        <v>4.5</v>
      </c>
      <c r="AC108" s="184"/>
    </row>
    <row r="109" spans="2:29" ht="15.75" hidden="1" customHeight="1" x14ac:dyDescent="0.25">
      <c r="B109" s="6" t="s">
        <v>94</v>
      </c>
      <c r="C109" s="6" t="s">
        <v>83</v>
      </c>
      <c r="D109" s="178">
        <f t="shared" si="5"/>
        <v>1.0004999999999999</v>
      </c>
      <c r="H109" s="6" t="s">
        <v>94</v>
      </c>
      <c r="I109" s="6" t="s">
        <v>83</v>
      </c>
      <c r="J109" s="178">
        <v>1.0004999999999999</v>
      </c>
      <c r="N109" s="6" t="s">
        <v>94</v>
      </c>
      <c r="O109" s="6" t="s">
        <v>83</v>
      </c>
      <c r="P109" s="178">
        <v>1.0004999999999999</v>
      </c>
      <c r="T109" s="6" t="s">
        <v>94</v>
      </c>
      <c r="U109" s="6" t="s">
        <v>83</v>
      </c>
      <c r="V109" s="178">
        <v>1.0004999999999999</v>
      </c>
      <c r="Z109" s="6" t="s">
        <v>94</v>
      </c>
      <c r="AA109" s="6" t="s">
        <v>83</v>
      </c>
      <c r="AB109" s="178">
        <v>1.0004999999999999</v>
      </c>
    </row>
    <row r="110" spans="2:29" ht="15.75" hidden="1" customHeight="1" x14ac:dyDescent="0.25">
      <c r="B110" s="6" t="s">
        <v>95</v>
      </c>
      <c r="C110" s="6" t="s">
        <v>83</v>
      </c>
      <c r="D110" s="178">
        <f t="shared" si="5"/>
        <v>7.0004999999999997</v>
      </c>
      <c r="H110" s="6" t="s">
        <v>95</v>
      </c>
      <c r="I110" s="6" t="s">
        <v>83</v>
      </c>
      <c r="J110" s="178">
        <v>7.0004999999999997</v>
      </c>
      <c r="N110" s="6" t="s">
        <v>95</v>
      </c>
      <c r="O110" s="6" t="s">
        <v>83</v>
      </c>
      <c r="P110" s="178">
        <v>7.0004999999999997</v>
      </c>
      <c r="T110" s="6" t="s">
        <v>95</v>
      </c>
      <c r="U110" s="6" t="s">
        <v>83</v>
      </c>
      <c r="V110" s="178">
        <v>7.0004999999999997</v>
      </c>
      <c r="Z110" s="6" t="s">
        <v>95</v>
      </c>
      <c r="AA110" s="6" t="s">
        <v>83</v>
      </c>
      <c r="AB110" s="178">
        <v>7.0004999999999997</v>
      </c>
    </row>
    <row r="111" spans="2:29" ht="15.75" hidden="1" customHeight="1" x14ac:dyDescent="0.25">
      <c r="B111" s="6" t="s">
        <v>96</v>
      </c>
      <c r="C111" s="6" t="s">
        <v>83</v>
      </c>
      <c r="D111" s="178">
        <f t="shared" si="5"/>
        <v>34.999499999999998</v>
      </c>
      <c r="H111" s="6" t="s">
        <v>96</v>
      </c>
      <c r="I111" s="6" t="s">
        <v>83</v>
      </c>
      <c r="J111" s="178">
        <v>34.999499999999998</v>
      </c>
      <c r="N111" s="6" t="s">
        <v>96</v>
      </c>
      <c r="O111" s="6" t="s">
        <v>83</v>
      </c>
      <c r="P111" s="178">
        <v>34.999499999999998</v>
      </c>
      <c r="T111" s="6" t="s">
        <v>96</v>
      </c>
      <c r="U111" s="6" t="s">
        <v>83</v>
      </c>
      <c r="V111" s="178">
        <v>34.999499999999998</v>
      </c>
      <c r="Z111" s="6" t="s">
        <v>96</v>
      </c>
      <c r="AA111" s="6" t="s">
        <v>83</v>
      </c>
      <c r="AB111" s="178">
        <v>34.999499999999998</v>
      </c>
    </row>
    <row r="112" spans="2:29" ht="15.75" hidden="1" customHeight="1" x14ac:dyDescent="0.25">
      <c r="B112" s="6" t="s">
        <v>97</v>
      </c>
      <c r="C112" s="6" t="s">
        <v>83</v>
      </c>
      <c r="D112" s="178">
        <f t="shared" si="5"/>
        <v>300</v>
      </c>
      <c r="H112" s="6" t="s">
        <v>97</v>
      </c>
      <c r="I112" s="6" t="s">
        <v>83</v>
      </c>
      <c r="J112" s="178">
        <v>300</v>
      </c>
      <c r="N112" s="6" t="s">
        <v>97</v>
      </c>
      <c r="O112" s="6" t="s">
        <v>83</v>
      </c>
      <c r="P112" s="178">
        <v>300</v>
      </c>
      <c r="T112" s="6" t="s">
        <v>97</v>
      </c>
      <c r="U112" s="6" t="s">
        <v>83</v>
      </c>
      <c r="V112" s="178">
        <v>300</v>
      </c>
      <c r="Z112" s="6" t="s">
        <v>97</v>
      </c>
      <c r="AA112" s="6" t="s">
        <v>83</v>
      </c>
      <c r="AB112" s="178">
        <v>300</v>
      </c>
    </row>
    <row r="113" spans="2:28" ht="15.75" hidden="1" customHeight="1" x14ac:dyDescent="0.25">
      <c r="B113" s="6" t="s">
        <v>98</v>
      </c>
      <c r="C113" s="6" t="s">
        <v>83</v>
      </c>
      <c r="D113" s="178">
        <f t="shared" si="5"/>
        <v>19.999500000000001</v>
      </c>
      <c r="H113" s="6" t="s">
        <v>98</v>
      </c>
      <c r="I113" s="6" t="s">
        <v>83</v>
      </c>
      <c r="J113" s="178">
        <v>19.999500000000001</v>
      </c>
      <c r="N113" s="6" t="s">
        <v>98</v>
      </c>
      <c r="O113" s="6" t="s">
        <v>83</v>
      </c>
      <c r="P113" s="178">
        <v>19.999500000000001</v>
      </c>
      <c r="T113" s="6" t="s">
        <v>98</v>
      </c>
      <c r="U113" s="6" t="s">
        <v>83</v>
      </c>
      <c r="V113" s="178">
        <v>19.999500000000001</v>
      </c>
      <c r="Z113" s="6" t="s">
        <v>98</v>
      </c>
      <c r="AA113" s="6" t="s">
        <v>83</v>
      </c>
      <c r="AB113" s="178">
        <v>19.999500000000001</v>
      </c>
    </row>
    <row r="114" spans="2:28" ht="15.75" hidden="1" customHeight="1" x14ac:dyDescent="0.25">
      <c r="B114" s="6" t="s">
        <v>99</v>
      </c>
      <c r="C114" s="6" t="s">
        <v>83</v>
      </c>
      <c r="D114" s="178">
        <f t="shared" si="5"/>
        <v>3</v>
      </c>
      <c r="H114" s="6" t="s">
        <v>99</v>
      </c>
      <c r="I114" s="6" t="s">
        <v>83</v>
      </c>
      <c r="J114" s="178">
        <v>3</v>
      </c>
      <c r="N114" s="6" t="s">
        <v>99</v>
      </c>
      <c r="O114" s="6" t="s">
        <v>83</v>
      </c>
      <c r="P114" s="178">
        <v>3</v>
      </c>
      <c r="T114" s="6" t="s">
        <v>99</v>
      </c>
      <c r="U114" s="6" t="s">
        <v>83</v>
      </c>
      <c r="V114" s="178">
        <v>3</v>
      </c>
      <c r="Z114" s="6" t="s">
        <v>99</v>
      </c>
      <c r="AA114" s="6" t="s">
        <v>83</v>
      </c>
      <c r="AB114" s="178">
        <v>3</v>
      </c>
    </row>
    <row r="115" spans="2:28" ht="15.75" hidden="1" customHeight="1" x14ac:dyDescent="0.25">
      <c r="B115" s="6" t="s">
        <v>100</v>
      </c>
      <c r="C115" s="6" t="s">
        <v>83</v>
      </c>
      <c r="D115" s="178">
        <f t="shared" si="5"/>
        <v>0.45</v>
      </c>
      <c r="H115" s="6" t="s">
        <v>100</v>
      </c>
      <c r="I115" s="6" t="s">
        <v>83</v>
      </c>
      <c r="J115" s="178">
        <v>0.45</v>
      </c>
      <c r="N115" s="6" t="s">
        <v>100</v>
      </c>
      <c r="O115" s="6" t="s">
        <v>83</v>
      </c>
      <c r="P115" s="178">
        <v>0.45</v>
      </c>
      <c r="T115" s="6" t="s">
        <v>100</v>
      </c>
      <c r="U115" s="6" t="s">
        <v>83</v>
      </c>
      <c r="V115" s="178">
        <v>0.45</v>
      </c>
      <c r="Z115" s="6" t="s">
        <v>100</v>
      </c>
      <c r="AA115" s="6" t="s">
        <v>83</v>
      </c>
      <c r="AB115" s="178">
        <v>0.45</v>
      </c>
    </row>
    <row r="116" spans="2:28" ht="15.75" hidden="1" customHeight="1" x14ac:dyDescent="0.25">
      <c r="B116" s="6" t="s">
        <v>101</v>
      </c>
      <c r="C116" s="6" t="s">
        <v>83</v>
      </c>
      <c r="D116" s="178">
        <f t="shared" si="5"/>
        <v>1.9995000000000001</v>
      </c>
      <c r="H116" s="6" t="s">
        <v>101</v>
      </c>
      <c r="I116" s="6" t="s">
        <v>83</v>
      </c>
      <c r="J116" s="178">
        <v>1.9995000000000001</v>
      </c>
      <c r="N116" s="6" t="s">
        <v>101</v>
      </c>
      <c r="O116" s="6" t="s">
        <v>83</v>
      </c>
      <c r="P116" s="178">
        <v>1.9995000000000001</v>
      </c>
      <c r="T116" s="6" t="s">
        <v>101</v>
      </c>
      <c r="U116" s="6" t="s">
        <v>83</v>
      </c>
      <c r="V116" s="178">
        <v>1.9995000000000001</v>
      </c>
      <c r="Z116" s="6" t="s">
        <v>101</v>
      </c>
      <c r="AA116" s="6" t="s">
        <v>83</v>
      </c>
      <c r="AB116" s="178">
        <v>1.9995000000000001</v>
      </c>
    </row>
    <row r="117" spans="2:28" ht="15.75" hidden="1" customHeight="1" x14ac:dyDescent="0.25">
      <c r="B117" s="6" t="s">
        <v>102</v>
      </c>
      <c r="C117" s="6" t="s">
        <v>83</v>
      </c>
      <c r="D117" s="178">
        <f t="shared" si="5"/>
        <v>4.0500000000000001E-2</v>
      </c>
      <c r="H117" s="6" t="s">
        <v>102</v>
      </c>
      <c r="I117" s="6" t="s">
        <v>83</v>
      </c>
      <c r="J117" s="178">
        <v>4.0500000000000001E-2</v>
      </c>
      <c r="N117" s="6" t="s">
        <v>102</v>
      </c>
      <c r="O117" s="6" t="s">
        <v>83</v>
      </c>
      <c r="P117" s="178">
        <v>4.0500000000000001E-2</v>
      </c>
      <c r="T117" s="6" t="s">
        <v>102</v>
      </c>
      <c r="U117" s="6" t="s">
        <v>83</v>
      </c>
      <c r="V117" s="178">
        <v>4.0500000000000001E-2</v>
      </c>
      <c r="Z117" s="6" t="s">
        <v>102</v>
      </c>
      <c r="AA117" s="6" t="s">
        <v>83</v>
      </c>
      <c r="AB117" s="178">
        <v>4.0500000000000001E-2</v>
      </c>
    </row>
    <row r="118" spans="2:28" ht="15.75" hidden="1" customHeight="1" x14ac:dyDescent="0.25">
      <c r="B118" s="6" t="s">
        <v>103</v>
      </c>
      <c r="C118" s="6" t="s">
        <v>104</v>
      </c>
      <c r="D118" s="178">
        <f t="shared" si="5"/>
        <v>50.198709999999998</v>
      </c>
      <c r="H118" s="6" t="s">
        <v>103</v>
      </c>
      <c r="I118" s="6" t="s">
        <v>104</v>
      </c>
      <c r="J118" s="178">
        <v>46.147421999999999</v>
      </c>
      <c r="N118" s="6" t="s">
        <v>103</v>
      </c>
      <c r="O118" s="6" t="s">
        <v>104</v>
      </c>
      <c r="P118" s="178">
        <v>30.418645000000001</v>
      </c>
      <c r="T118" s="6" t="s">
        <v>103</v>
      </c>
      <c r="U118" s="6" t="s">
        <v>104</v>
      </c>
      <c r="V118" s="178">
        <v>33.893189999999997</v>
      </c>
      <c r="Z118" s="6" t="s">
        <v>103</v>
      </c>
      <c r="AA118" s="6" t="s">
        <v>104</v>
      </c>
      <c r="AB118" s="178">
        <v>27.976870000000002</v>
      </c>
    </row>
    <row r="119" spans="2:28" ht="15.75" hidden="1" customHeight="1" x14ac:dyDescent="0.25">
      <c r="B119" s="6" t="s">
        <v>105</v>
      </c>
      <c r="C119" s="6" t="s">
        <v>106</v>
      </c>
      <c r="D119" s="178">
        <f t="shared" si="5"/>
        <v>521.52197200000001</v>
      </c>
      <c r="H119" s="6" t="s">
        <v>105</v>
      </c>
      <c r="I119" s="6" t="s">
        <v>106</v>
      </c>
      <c r="J119" s="178">
        <v>518.95577900000001</v>
      </c>
      <c r="N119" s="6" t="s">
        <v>105</v>
      </c>
      <c r="O119" s="6" t="s">
        <v>106</v>
      </c>
      <c r="P119" s="178">
        <v>513.44500000000005</v>
      </c>
      <c r="T119" s="6" t="s">
        <v>105</v>
      </c>
      <c r="U119" s="6" t="s">
        <v>106</v>
      </c>
      <c r="V119" s="178">
        <v>516.52321700000005</v>
      </c>
      <c r="Z119" s="6" t="s">
        <v>105</v>
      </c>
      <c r="AA119" s="6" t="s">
        <v>106</v>
      </c>
      <c r="AB119" s="178">
        <v>527.61235499999998</v>
      </c>
    </row>
    <row r="120" spans="2:28" ht="15.75" hidden="1" customHeight="1" x14ac:dyDescent="0.25">
      <c r="B120" s="6" t="s">
        <v>107</v>
      </c>
      <c r="D120" s="178">
        <f t="shared" si="5"/>
        <v>4.5779509999999997</v>
      </c>
      <c r="H120" s="6" t="s">
        <v>107</v>
      </c>
      <c r="J120" s="178">
        <v>4.5787610000000001</v>
      </c>
      <c r="N120" s="6" t="s">
        <v>107</v>
      </c>
      <c r="P120" s="178">
        <v>5.6665999999999999</v>
      </c>
      <c r="T120" s="6" t="s">
        <v>107</v>
      </c>
      <c r="V120" s="178">
        <v>6.4776689999999997</v>
      </c>
      <c r="Z120" s="6" t="s">
        <v>107</v>
      </c>
      <c r="AB120" s="178">
        <v>6.8819210000000002</v>
      </c>
    </row>
    <row r="121" spans="2:28" ht="15.75" hidden="1" customHeight="1" x14ac:dyDescent="0.25">
      <c r="B121" s="6" t="s">
        <v>203</v>
      </c>
      <c r="C121" s="6" t="s">
        <v>83</v>
      </c>
      <c r="D121" s="178">
        <f t="shared" si="5"/>
        <v>0</v>
      </c>
      <c r="H121" s="6" t="s">
        <v>203</v>
      </c>
      <c r="I121" s="6" t="s">
        <v>83</v>
      </c>
      <c r="J121" s="178">
        <v>0</v>
      </c>
      <c r="N121" s="6" t="s">
        <v>203</v>
      </c>
      <c r="O121" s="6" t="s">
        <v>83</v>
      </c>
      <c r="P121" s="178">
        <v>0</v>
      </c>
      <c r="T121" s="6" t="s">
        <v>203</v>
      </c>
      <c r="U121" s="6" t="s">
        <v>83</v>
      </c>
      <c r="V121" s="178">
        <v>0</v>
      </c>
      <c r="Z121" s="6" t="s">
        <v>203</v>
      </c>
      <c r="AA121" s="6" t="s">
        <v>83</v>
      </c>
      <c r="AB121" s="178">
        <v>0</v>
      </c>
    </row>
    <row r="122" spans="2:28" ht="15.75" hidden="1" customHeight="1" x14ac:dyDescent="0.25">
      <c r="B122" s="6" t="s">
        <v>204</v>
      </c>
      <c r="C122" s="6" t="s">
        <v>83</v>
      </c>
      <c r="D122" s="178">
        <f t="shared" si="5"/>
        <v>0</v>
      </c>
      <c r="H122" s="6" t="s">
        <v>204</v>
      </c>
      <c r="I122" s="6" t="s">
        <v>83</v>
      </c>
      <c r="J122" s="178">
        <v>0</v>
      </c>
      <c r="N122" s="6" t="s">
        <v>204</v>
      </c>
      <c r="O122" s="6" t="s">
        <v>83</v>
      </c>
      <c r="P122" s="178">
        <v>0</v>
      </c>
      <c r="T122" s="6" t="s">
        <v>204</v>
      </c>
      <c r="U122" s="6" t="s">
        <v>83</v>
      </c>
      <c r="V122" s="178">
        <v>0</v>
      </c>
      <c r="Z122" s="6" t="s">
        <v>204</v>
      </c>
      <c r="AA122" s="6" t="s">
        <v>83</v>
      </c>
      <c r="AB122" s="178">
        <v>0</v>
      </c>
    </row>
    <row r="123" spans="2:28" ht="15.75" hidden="1" customHeight="1" x14ac:dyDescent="0.25">
      <c r="B123" s="6" t="s">
        <v>205</v>
      </c>
      <c r="C123" s="6" t="s">
        <v>83</v>
      </c>
      <c r="D123" s="178">
        <f t="shared" ref="D123:D147" si="6">IFERROR(VLOOKUP(B123,raw_2,4,FALSE),0)</f>
        <v>0</v>
      </c>
      <c r="H123" s="6" t="s">
        <v>205</v>
      </c>
      <c r="I123" s="6" t="s">
        <v>83</v>
      </c>
      <c r="J123" s="178">
        <v>0</v>
      </c>
      <c r="N123" s="6" t="s">
        <v>205</v>
      </c>
      <c r="O123" s="6" t="s">
        <v>83</v>
      </c>
      <c r="P123" s="178">
        <v>0</v>
      </c>
      <c r="T123" s="6" t="s">
        <v>205</v>
      </c>
      <c r="U123" s="6" t="s">
        <v>83</v>
      </c>
      <c r="V123" s="178">
        <v>0</v>
      </c>
      <c r="Z123" s="6" t="s">
        <v>205</v>
      </c>
      <c r="AA123" s="6" t="s">
        <v>83</v>
      </c>
      <c r="AB123" s="178">
        <v>0</v>
      </c>
    </row>
    <row r="124" spans="2:28" ht="15.75" hidden="1" customHeight="1" x14ac:dyDescent="0.25">
      <c r="B124" s="6" t="s">
        <v>191</v>
      </c>
      <c r="C124" s="6" t="s">
        <v>83</v>
      </c>
      <c r="D124" s="178">
        <f t="shared" si="6"/>
        <v>0</v>
      </c>
      <c r="H124" s="6" t="s">
        <v>191</v>
      </c>
      <c r="I124" s="6" t="s">
        <v>83</v>
      </c>
      <c r="J124" s="178">
        <v>0</v>
      </c>
      <c r="N124" s="6" t="s">
        <v>191</v>
      </c>
      <c r="O124" s="6" t="s">
        <v>83</v>
      </c>
      <c r="P124" s="178">
        <v>0</v>
      </c>
      <c r="T124" s="6" t="s">
        <v>191</v>
      </c>
      <c r="U124" s="6" t="s">
        <v>83</v>
      </c>
      <c r="V124" s="178">
        <v>0</v>
      </c>
      <c r="Z124" s="6" t="s">
        <v>191</v>
      </c>
      <c r="AA124" s="6" t="s">
        <v>83</v>
      </c>
      <c r="AB124" s="178">
        <v>0</v>
      </c>
    </row>
    <row r="125" spans="2:28" ht="15.75" hidden="1" customHeight="1" x14ac:dyDescent="0.25">
      <c r="B125" s="6" t="s">
        <v>192</v>
      </c>
      <c r="C125" s="6" t="s">
        <v>83</v>
      </c>
      <c r="D125" s="178">
        <f t="shared" si="6"/>
        <v>0</v>
      </c>
      <c r="H125" s="6" t="s">
        <v>192</v>
      </c>
      <c r="I125" s="6" t="s">
        <v>83</v>
      </c>
      <c r="J125" s="178">
        <v>0</v>
      </c>
      <c r="N125" s="6" t="s">
        <v>192</v>
      </c>
      <c r="O125" s="6" t="s">
        <v>83</v>
      </c>
      <c r="P125" s="178">
        <v>0</v>
      </c>
      <c r="T125" s="6" t="s">
        <v>192</v>
      </c>
      <c r="U125" s="6" t="s">
        <v>83</v>
      </c>
      <c r="V125" s="178">
        <v>0</v>
      </c>
      <c r="Z125" s="6" t="s">
        <v>192</v>
      </c>
      <c r="AA125" s="6" t="s">
        <v>83</v>
      </c>
      <c r="AB125" s="178">
        <v>0</v>
      </c>
    </row>
    <row r="126" spans="2:28" ht="15.75" hidden="1" customHeight="1" x14ac:dyDescent="0.25">
      <c r="B126" s="6" t="s">
        <v>193</v>
      </c>
      <c r="C126" s="6" t="s">
        <v>83</v>
      </c>
      <c r="D126" s="178">
        <f t="shared" si="6"/>
        <v>0</v>
      </c>
      <c r="H126" s="6" t="s">
        <v>193</v>
      </c>
      <c r="I126" s="6" t="s">
        <v>83</v>
      </c>
      <c r="J126" s="178">
        <v>0</v>
      </c>
      <c r="N126" s="6" t="s">
        <v>193</v>
      </c>
      <c r="O126" s="6" t="s">
        <v>83</v>
      </c>
      <c r="P126" s="178">
        <v>0</v>
      </c>
      <c r="T126" s="6" t="s">
        <v>193</v>
      </c>
      <c r="U126" s="6" t="s">
        <v>83</v>
      </c>
      <c r="V126" s="178">
        <v>0</v>
      </c>
      <c r="Z126" s="6" t="s">
        <v>193</v>
      </c>
      <c r="AA126" s="6" t="s">
        <v>83</v>
      </c>
      <c r="AB126" s="178">
        <v>0</v>
      </c>
    </row>
    <row r="127" spans="2:28" ht="15.75" hidden="1" customHeight="1" x14ac:dyDescent="0.25">
      <c r="B127" s="6" t="s">
        <v>194</v>
      </c>
      <c r="C127" s="6" t="s">
        <v>83</v>
      </c>
      <c r="D127" s="178">
        <f t="shared" si="6"/>
        <v>0</v>
      </c>
      <c r="H127" s="6" t="s">
        <v>194</v>
      </c>
      <c r="I127" s="6" t="s">
        <v>83</v>
      </c>
      <c r="J127" s="178">
        <v>0</v>
      </c>
      <c r="N127" s="6" t="s">
        <v>194</v>
      </c>
      <c r="O127" s="6" t="s">
        <v>83</v>
      </c>
      <c r="P127" s="178">
        <v>0</v>
      </c>
      <c r="T127" s="6" t="s">
        <v>194</v>
      </c>
      <c r="U127" s="6" t="s">
        <v>83</v>
      </c>
      <c r="V127" s="178">
        <v>0</v>
      </c>
      <c r="Z127" s="6" t="s">
        <v>194</v>
      </c>
      <c r="AA127" s="6" t="s">
        <v>83</v>
      </c>
      <c r="AB127" s="178">
        <v>0</v>
      </c>
    </row>
    <row r="128" spans="2:28" ht="15.75" hidden="1" customHeight="1" x14ac:dyDescent="0.25">
      <c r="B128" s="6" t="s">
        <v>195</v>
      </c>
      <c r="C128" s="6" t="s">
        <v>83</v>
      </c>
      <c r="D128" s="178">
        <f t="shared" si="6"/>
        <v>0</v>
      </c>
      <c r="H128" s="6" t="s">
        <v>195</v>
      </c>
      <c r="I128" s="6" t="s">
        <v>83</v>
      </c>
      <c r="J128" s="178">
        <v>0</v>
      </c>
      <c r="N128" s="6" t="s">
        <v>195</v>
      </c>
      <c r="O128" s="6" t="s">
        <v>83</v>
      </c>
      <c r="P128" s="178">
        <v>0</v>
      </c>
      <c r="T128" s="6" t="s">
        <v>195</v>
      </c>
      <c r="U128" s="6" t="s">
        <v>83</v>
      </c>
      <c r="V128" s="178">
        <v>0</v>
      </c>
      <c r="Z128" s="6" t="s">
        <v>195</v>
      </c>
      <c r="AA128" s="6" t="s">
        <v>83</v>
      </c>
      <c r="AB128" s="178">
        <v>0</v>
      </c>
    </row>
    <row r="129" spans="2:28" ht="15.75" hidden="1" customHeight="1" x14ac:dyDescent="0.25">
      <c r="B129" s="6" t="s">
        <v>196</v>
      </c>
      <c r="C129" s="6" t="s">
        <v>83</v>
      </c>
      <c r="D129" s="178">
        <f t="shared" si="6"/>
        <v>0</v>
      </c>
      <c r="H129" s="6" t="s">
        <v>196</v>
      </c>
      <c r="I129" s="6" t="s">
        <v>83</v>
      </c>
      <c r="J129" s="178">
        <v>0</v>
      </c>
      <c r="N129" s="6" t="s">
        <v>196</v>
      </c>
      <c r="O129" s="6" t="s">
        <v>83</v>
      </c>
      <c r="P129" s="178">
        <v>0</v>
      </c>
      <c r="T129" s="6" t="s">
        <v>196</v>
      </c>
      <c r="U129" s="6" t="s">
        <v>83</v>
      </c>
      <c r="V129" s="178">
        <v>0</v>
      </c>
      <c r="Z129" s="6" t="s">
        <v>196</v>
      </c>
      <c r="AA129" s="6" t="s">
        <v>83</v>
      </c>
      <c r="AB129" s="178">
        <v>0</v>
      </c>
    </row>
    <row r="130" spans="2:28" ht="15.75" hidden="1" customHeight="1" x14ac:dyDescent="0.25">
      <c r="B130" s="6" t="s">
        <v>197</v>
      </c>
      <c r="C130" s="6" t="s">
        <v>83</v>
      </c>
      <c r="D130" s="178">
        <f t="shared" si="6"/>
        <v>0</v>
      </c>
      <c r="H130" s="6" t="s">
        <v>197</v>
      </c>
      <c r="I130" s="6" t="s">
        <v>83</v>
      </c>
      <c r="J130" s="178">
        <v>0</v>
      </c>
      <c r="N130" s="6" t="s">
        <v>197</v>
      </c>
      <c r="O130" s="6" t="s">
        <v>83</v>
      </c>
      <c r="P130" s="178">
        <v>0</v>
      </c>
      <c r="T130" s="6" t="s">
        <v>197</v>
      </c>
      <c r="U130" s="6" t="s">
        <v>83</v>
      </c>
      <c r="V130" s="178">
        <v>0</v>
      </c>
      <c r="Z130" s="6" t="s">
        <v>197</v>
      </c>
      <c r="AA130" s="6" t="s">
        <v>83</v>
      </c>
      <c r="AB130" s="178">
        <v>0</v>
      </c>
    </row>
    <row r="131" spans="2:28" ht="15.75" hidden="1" customHeight="1" x14ac:dyDescent="0.25">
      <c r="B131" s="6" t="s">
        <v>198</v>
      </c>
      <c r="C131" s="6" t="s">
        <v>83</v>
      </c>
      <c r="D131" s="178">
        <f t="shared" si="6"/>
        <v>0</v>
      </c>
      <c r="H131" s="6" t="s">
        <v>198</v>
      </c>
      <c r="I131" s="6" t="s">
        <v>83</v>
      </c>
      <c r="J131" s="178">
        <v>0</v>
      </c>
      <c r="N131" s="6" t="s">
        <v>198</v>
      </c>
      <c r="O131" s="6" t="s">
        <v>83</v>
      </c>
      <c r="P131" s="178">
        <v>0</v>
      </c>
      <c r="T131" s="6" t="s">
        <v>198</v>
      </c>
      <c r="U131" s="6" t="s">
        <v>83</v>
      </c>
      <c r="V131" s="178">
        <v>0</v>
      </c>
      <c r="Z131" s="6" t="s">
        <v>198</v>
      </c>
      <c r="AA131" s="6" t="s">
        <v>83</v>
      </c>
      <c r="AB131" s="178">
        <v>0</v>
      </c>
    </row>
    <row r="132" spans="2:28" ht="15.75" hidden="1" customHeight="1" x14ac:dyDescent="0.25">
      <c r="B132" s="6" t="s">
        <v>199</v>
      </c>
      <c r="C132" s="6" t="s">
        <v>83</v>
      </c>
      <c r="D132" s="178">
        <f t="shared" si="6"/>
        <v>0</v>
      </c>
      <c r="H132" s="6" t="s">
        <v>199</v>
      </c>
      <c r="I132" s="6" t="s">
        <v>83</v>
      </c>
      <c r="J132" s="178">
        <v>0</v>
      </c>
      <c r="N132" s="6" t="s">
        <v>199</v>
      </c>
      <c r="O132" s="6" t="s">
        <v>83</v>
      </c>
      <c r="P132" s="178">
        <v>0</v>
      </c>
      <c r="T132" s="6" t="s">
        <v>199</v>
      </c>
      <c r="U132" s="6" t="s">
        <v>83</v>
      </c>
      <c r="V132" s="178">
        <v>0</v>
      </c>
      <c r="Z132" s="6" t="s">
        <v>199</v>
      </c>
      <c r="AA132" s="6" t="s">
        <v>83</v>
      </c>
      <c r="AB132" s="178">
        <v>0</v>
      </c>
    </row>
    <row r="133" spans="2:28" ht="15.75" hidden="1" customHeight="1" x14ac:dyDescent="0.25">
      <c r="B133" s="6" t="s">
        <v>190</v>
      </c>
      <c r="C133" s="6" t="s">
        <v>206</v>
      </c>
      <c r="D133" s="178">
        <f t="shared" si="6"/>
        <v>0</v>
      </c>
      <c r="H133" s="6" t="s">
        <v>190</v>
      </c>
      <c r="I133" s="6" t="s">
        <v>206</v>
      </c>
      <c r="J133" s="178">
        <v>0</v>
      </c>
      <c r="N133" s="6" t="s">
        <v>190</v>
      </c>
      <c r="O133" s="6" t="s">
        <v>206</v>
      </c>
      <c r="P133" s="178">
        <v>0</v>
      </c>
      <c r="T133" s="6" t="s">
        <v>190</v>
      </c>
      <c r="U133" s="6" t="s">
        <v>206</v>
      </c>
      <c r="V133" s="178">
        <v>0</v>
      </c>
      <c r="Z133" s="6" t="s">
        <v>190</v>
      </c>
      <c r="AA133" s="6" t="s">
        <v>206</v>
      </c>
      <c r="AB133" s="178">
        <v>0</v>
      </c>
    </row>
    <row r="134" spans="2:28" ht="15.75" hidden="1" customHeight="1" x14ac:dyDescent="0.25">
      <c r="B134" s="6" t="s">
        <v>207</v>
      </c>
      <c r="C134" s="6" t="s">
        <v>208</v>
      </c>
      <c r="D134" s="178">
        <f t="shared" si="6"/>
        <v>0</v>
      </c>
      <c r="H134" s="6" t="s">
        <v>207</v>
      </c>
      <c r="I134" s="6" t="s">
        <v>208</v>
      </c>
      <c r="J134" s="178">
        <v>0</v>
      </c>
      <c r="N134" s="6" t="s">
        <v>207</v>
      </c>
      <c r="O134" s="6" t="s">
        <v>208</v>
      </c>
      <c r="P134" s="178">
        <v>0</v>
      </c>
      <c r="T134" s="6" t="s">
        <v>207</v>
      </c>
      <c r="U134" s="6" t="s">
        <v>208</v>
      </c>
      <c r="V134" s="178">
        <v>0</v>
      </c>
      <c r="Z134" s="6" t="s">
        <v>207</v>
      </c>
      <c r="AA134" s="6" t="s">
        <v>208</v>
      </c>
      <c r="AB134" s="178">
        <v>0</v>
      </c>
    </row>
    <row r="135" spans="2:28" ht="15.75" hidden="1" customHeight="1" x14ac:dyDescent="0.25">
      <c r="B135" s="6" t="s">
        <v>209</v>
      </c>
      <c r="C135" s="6" t="s">
        <v>210</v>
      </c>
      <c r="D135" s="178">
        <f t="shared" si="6"/>
        <v>0</v>
      </c>
      <c r="H135" s="6" t="s">
        <v>209</v>
      </c>
      <c r="I135" s="6" t="s">
        <v>210</v>
      </c>
      <c r="J135" s="178">
        <v>0</v>
      </c>
      <c r="N135" s="6" t="s">
        <v>209</v>
      </c>
      <c r="O135" s="6" t="s">
        <v>210</v>
      </c>
      <c r="P135" s="178">
        <v>0</v>
      </c>
      <c r="T135" s="6" t="s">
        <v>209</v>
      </c>
      <c r="U135" s="6" t="s">
        <v>210</v>
      </c>
      <c r="V135" s="178">
        <v>0</v>
      </c>
      <c r="Z135" s="6" t="s">
        <v>209</v>
      </c>
      <c r="AA135" s="6" t="s">
        <v>210</v>
      </c>
      <c r="AB135" s="178">
        <v>0</v>
      </c>
    </row>
    <row r="136" spans="2:28" ht="15.75" hidden="1" customHeight="1" x14ac:dyDescent="0.25">
      <c r="B136" s="6" t="s">
        <v>211</v>
      </c>
      <c r="C136" s="6" t="s">
        <v>212</v>
      </c>
      <c r="D136" s="178">
        <f t="shared" si="6"/>
        <v>0</v>
      </c>
      <c r="H136" s="6" t="s">
        <v>211</v>
      </c>
      <c r="I136" s="6" t="s">
        <v>212</v>
      </c>
      <c r="J136" s="178">
        <v>0</v>
      </c>
      <c r="N136" s="6" t="s">
        <v>211</v>
      </c>
      <c r="O136" s="6" t="s">
        <v>212</v>
      </c>
      <c r="P136" s="178">
        <v>0</v>
      </c>
      <c r="T136" s="6" t="s">
        <v>211</v>
      </c>
      <c r="U136" s="6" t="s">
        <v>212</v>
      </c>
      <c r="V136" s="178">
        <v>0</v>
      </c>
      <c r="Z136" s="6" t="s">
        <v>211</v>
      </c>
      <c r="AA136" s="6" t="s">
        <v>212</v>
      </c>
      <c r="AB136" s="178">
        <v>0</v>
      </c>
    </row>
    <row r="137" spans="2:28" ht="15.75" hidden="1" customHeight="1" x14ac:dyDescent="0.25">
      <c r="B137" s="6" t="s">
        <v>213</v>
      </c>
      <c r="C137" s="6" t="s">
        <v>212</v>
      </c>
      <c r="D137" s="178">
        <f t="shared" si="6"/>
        <v>0</v>
      </c>
      <c r="H137" s="6" t="s">
        <v>213</v>
      </c>
      <c r="I137" s="6" t="s">
        <v>212</v>
      </c>
      <c r="J137" s="178">
        <v>0</v>
      </c>
      <c r="N137" s="6" t="s">
        <v>213</v>
      </c>
      <c r="O137" s="6" t="s">
        <v>212</v>
      </c>
      <c r="P137" s="178">
        <v>0</v>
      </c>
      <c r="T137" s="6" t="s">
        <v>213</v>
      </c>
      <c r="U137" s="6" t="s">
        <v>212</v>
      </c>
      <c r="V137" s="178">
        <v>0</v>
      </c>
      <c r="Z137" s="6" t="s">
        <v>213</v>
      </c>
      <c r="AA137" s="6" t="s">
        <v>212</v>
      </c>
      <c r="AB137" s="178">
        <v>0</v>
      </c>
    </row>
    <row r="138" spans="2:28" ht="15.75" hidden="1" customHeight="1" x14ac:dyDescent="0.25">
      <c r="B138" s="6" t="s">
        <v>214</v>
      </c>
      <c r="C138" s="6" t="s">
        <v>215</v>
      </c>
      <c r="D138" s="178">
        <f t="shared" si="6"/>
        <v>0</v>
      </c>
      <c r="H138" s="6" t="s">
        <v>214</v>
      </c>
      <c r="I138" s="6" t="s">
        <v>215</v>
      </c>
      <c r="J138" s="178">
        <v>0</v>
      </c>
      <c r="N138" s="6" t="s">
        <v>214</v>
      </c>
      <c r="O138" s="6" t="s">
        <v>215</v>
      </c>
      <c r="P138" s="178">
        <v>0</v>
      </c>
      <c r="T138" s="6" t="s">
        <v>214</v>
      </c>
      <c r="U138" s="6" t="s">
        <v>215</v>
      </c>
      <c r="V138" s="178">
        <v>0</v>
      </c>
      <c r="Z138" s="6" t="s">
        <v>214</v>
      </c>
      <c r="AA138" s="6" t="s">
        <v>215</v>
      </c>
      <c r="AB138" s="178">
        <v>0</v>
      </c>
    </row>
    <row r="139" spans="2:28" ht="15.75" hidden="1" customHeight="1" x14ac:dyDescent="0.25">
      <c r="B139" s="6" t="s">
        <v>216</v>
      </c>
      <c r="C139" s="6" t="s">
        <v>215</v>
      </c>
      <c r="D139" s="178">
        <f t="shared" si="6"/>
        <v>0</v>
      </c>
      <c r="H139" s="6" t="s">
        <v>216</v>
      </c>
      <c r="I139" s="6" t="s">
        <v>215</v>
      </c>
      <c r="J139" s="178">
        <v>0</v>
      </c>
      <c r="N139" s="6" t="s">
        <v>216</v>
      </c>
      <c r="O139" s="6" t="s">
        <v>215</v>
      </c>
      <c r="P139" s="178">
        <v>0</v>
      </c>
      <c r="T139" s="6" t="s">
        <v>216</v>
      </c>
      <c r="U139" s="6" t="s">
        <v>215</v>
      </c>
      <c r="V139" s="178">
        <v>0</v>
      </c>
      <c r="Z139" s="6" t="s">
        <v>216</v>
      </c>
      <c r="AA139" s="6" t="s">
        <v>215</v>
      </c>
      <c r="AB139" s="178">
        <v>0</v>
      </c>
    </row>
    <row r="140" spans="2:28" ht="15.75" hidden="1" customHeight="1" x14ac:dyDescent="0.25">
      <c r="B140" s="6" t="s">
        <v>217</v>
      </c>
      <c r="C140" s="6" t="s">
        <v>215</v>
      </c>
      <c r="D140" s="178">
        <f t="shared" si="6"/>
        <v>0</v>
      </c>
      <c r="H140" s="6" t="s">
        <v>217</v>
      </c>
      <c r="I140" s="6" t="s">
        <v>215</v>
      </c>
      <c r="J140" s="178">
        <v>0</v>
      </c>
      <c r="N140" s="6" t="s">
        <v>217</v>
      </c>
      <c r="O140" s="6" t="s">
        <v>215</v>
      </c>
      <c r="P140" s="178">
        <v>0</v>
      </c>
      <c r="T140" s="6" t="s">
        <v>217</v>
      </c>
      <c r="U140" s="6" t="s">
        <v>215</v>
      </c>
      <c r="V140" s="178">
        <v>0</v>
      </c>
      <c r="Z140" s="6" t="s">
        <v>217</v>
      </c>
      <c r="AA140" s="6" t="s">
        <v>215</v>
      </c>
      <c r="AB140" s="178">
        <v>0</v>
      </c>
    </row>
    <row r="141" spans="2:28" ht="15.75" hidden="1" customHeight="1" x14ac:dyDescent="0.25">
      <c r="B141" s="6" t="s">
        <v>218</v>
      </c>
      <c r="C141" s="6" t="s">
        <v>215</v>
      </c>
      <c r="D141" s="178">
        <f t="shared" si="6"/>
        <v>0</v>
      </c>
      <c r="H141" s="6" t="s">
        <v>218</v>
      </c>
      <c r="I141" s="6" t="s">
        <v>215</v>
      </c>
      <c r="J141" s="178">
        <v>0</v>
      </c>
      <c r="N141" s="6" t="s">
        <v>218</v>
      </c>
      <c r="O141" s="6" t="s">
        <v>215</v>
      </c>
      <c r="P141" s="178">
        <v>0</v>
      </c>
      <c r="T141" s="6" t="s">
        <v>218</v>
      </c>
      <c r="U141" s="6" t="s">
        <v>215</v>
      </c>
      <c r="V141" s="178">
        <v>0</v>
      </c>
      <c r="Z141" s="6" t="s">
        <v>218</v>
      </c>
      <c r="AA141" s="6" t="s">
        <v>215</v>
      </c>
      <c r="AB141" s="178">
        <v>0</v>
      </c>
    </row>
    <row r="142" spans="2:28" ht="15.75" hidden="1" customHeight="1" x14ac:dyDescent="0.25">
      <c r="B142" s="6" t="s">
        <v>219</v>
      </c>
      <c r="C142" s="6" t="s">
        <v>212</v>
      </c>
      <c r="D142" s="178">
        <f t="shared" si="6"/>
        <v>0</v>
      </c>
      <c r="H142" s="6" t="s">
        <v>219</v>
      </c>
      <c r="I142" s="6" t="s">
        <v>212</v>
      </c>
      <c r="J142" s="178">
        <v>0</v>
      </c>
      <c r="N142" s="6" t="s">
        <v>219</v>
      </c>
      <c r="O142" s="6" t="s">
        <v>212</v>
      </c>
      <c r="P142" s="178">
        <v>2.0782090000000002</v>
      </c>
      <c r="T142" s="6" t="s">
        <v>219</v>
      </c>
      <c r="U142" s="6" t="s">
        <v>212</v>
      </c>
      <c r="V142" s="178">
        <v>0</v>
      </c>
      <c r="Z142" s="6" t="s">
        <v>219</v>
      </c>
      <c r="AA142" s="6" t="s">
        <v>212</v>
      </c>
      <c r="AB142" s="178">
        <v>0</v>
      </c>
    </row>
    <row r="143" spans="2:28" ht="15.75" hidden="1" customHeight="1" x14ac:dyDescent="0.25">
      <c r="B143" s="15" t="s">
        <v>220</v>
      </c>
      <c r="C143" s="15" t="s">
        <v>215</v>
      </c>
      <c r="D143" s="179">
        <f t="shared" si="6"/>
        <v>0</v>
      </c>
      <c r="H143" s="15" t="s">
        <v>220</v>
      </c>
      <c r="I143" s="15" t="s">
        <v>215</v>
      </c>
      <c r="J143" s="179">
        <v>0</v>
      </c>
      <c r="N143" s="15" t="s">
        <v>220</v>
      </c>
      <c r="O143" s="15" t="s">
        <v>215</v>
      </c>
      <c r="P143" s="179">
        <v>0</v>
      </c>
      <c r="T143" s="15" t="s">
        <v>220</v>
      </c>
      <c r="U143" s="15" t="s">
        <v>215</v>
      </c>
      <c r="V143" s="179">
        <v>2.0782090000000002</v>
      </c>
      <c r="Z143" s="15" t="s">
        <v>220</v>
      </c>
      <c r="AA143" s="15" t="s">
        <v>215</v>
      </c>
      <c r="AB143" s="179">
        <v>2.0782090000000002</v>
      </c>
    </row>
    <row r="144" spans="2:28" ht="15.75" hidden="1" customHeight="1" x14ac:dyDescent="0.25">
      <c r="B144" s="6" t="s">
        <v>221</v>
      </c>
      <c r="C144" s="6" t="s">
        <v>215</v>
      </c>
      <c r="D144" s="178">
        <f t="shared" si="6"/>
        <v>0</v>
      </c>
      <c r="H144" s="6" t="s">
        <v>221</v>
      </c>
      <c r="I144" s="6" t="s">
        <v>215</v>
      </c>
      <c r="J144" s="178">
        <v>0</v>
      </c>
      <c r="N144" s="6" t="s">
        <v>221</v>
      </c>
      <c r="O144" s="6" t="s">
        <v>215</v>
      </c>
      <c r="P144" s="178">
        <v>0</v>
      </c>
      <c r="T144" s="6" t="s">
        <v>221</v>
      </c>
      <c r="U144" s="6" t="s">
        <v>215</v>
      </c>
      <c r="V144" s="178">
        <v>0</v>
      </c>
      <c r="Z144" s="6" t="s">
        <v>221</v>
      </c>
      <c r="AA144" s="6" t="s">
        <v>215</v>
      </c>
      <c r="AB144" s="178">
        <v>0</v>
      </c>
    </row>
    <row r="145" spans="2:28" ht="15.75" hidden="1" customHeight="1" x14ac:dyDescent="0.25">
      <c r="B145" s="6" t="s">
        <v>222</v>
      </c>
      <c r="C145" s="6" t="s">
        <v>215</v>
      </c>
      <c r="D145" s="178">
        <f t="shared" si="6"/>
        <v>0</v>
      </c>
      <c r="H145" s="6" t="s">
        <v>222</v>
      </c>
      <c r="I145" s="6" t="s">
        <v>215</v>
      </c>
      <c r="J145" s="178">
        <v>0</v>
      </c>
      <c r="N145" s="6" t="s">
        <v>222</v>
      </c>
      <c r="O145" s="6" t="s">
        <v>215</v>
      </c>
      <c r="P145" s="178">
        <v>0</v>
      </c>
      <c r="T145" s="6" t="s">
        <v>222</v>
      </c>
      <c r="U145" s="6" t="s">
        <v>215</v>
      </c>
      <c r="V145" s="178">
        <v>0</v>
      </c>
      <c r="Z145" s="6" t="s">
        <v>222</v>
      </c>
      <c r="AA145" s="6" t="s">
        <v>215</v>
      </c>
      <c r="AB145" s="178">
        <v>0</v>
      </c>
    </row>
    <row r="146" spans="2:28" ht="15.75" hidden="1" customHeight="1" x14ac:dyDescent="0.25">
      <c r="B146" s="6" t="s">
        <v>223</v>
      </c>
      <c r="C146" s="6" t="s">
        <v>215</v>
      </c>
      <c r="D146" s="178">
        <f t="shared" si="6"/>
        <v>0</v>
      </c>
      <c r="H146" s="6" t="s">
        <v>223</v>
      </c>
      <c r="I146" s="6" t="s">
        <v>215</v>
      </c>
      <c r="J146" s="178">
        <v>0</v>
      </c>
      <c r="N146" s="6" t="s">
        <v>223</v>
      </c>
      <c r="O146" s="6" t="s">
        <v>215</v>
      </c>
      <c r="P146" s="178">
        <v>0</v>
      </c>
      <c r="T146" s="6" t="s">
        <v>223</v>
      </c>
      <c r="U146" s="6" t="s">
        <v>215</v>
      </c>
      <c r="V146" s="178">
        <v>0</v>
      </c>
      <c r="Z146" s="6" t="s">
        <v>223</v>
      </c>
      <c r="AA146" s="6" t="s">
        <v>215</v>
      </c>
      <c r="AB146" s="178">
        <v>0</v>
      </c>
    </row>
    <row r="147" spans="2:28" ht="15.75" hidden="1" customHeight="1" x14ac:dyDescent="0.25">
      <c r="B147" s="6" t="s">
        <v>224</v>
      </c>
      <c r="C147" s="6" t="s">
        <v>212</v>
      </c>
      <c r="D147" s="178">
        <f t="shared" si="6"/>
        <v>0</v>
      </c>
      <c r="H147" s="6" t="s">
        <v>224</v>
      </c>
      <c r="I147" s="6" t="s">
        <v>212</v>
      </c>
      <c r="J147" s="178">
        <v>0</v>
      </c>
      <c r="N147" s="6" t="s">
        <v>224</v>
      </c>
      <c r="O147" s="6" t="s">
        <v>212</v>
      </c>
      <c r="P147" s="178">
        <v>0</v>
      </c>
      <c r="T147" s="6" t="s">
        <v>224</v>
      </c>
      <c r="U147" s="6" t="s">
        <v>212</v>
      </c>
      <c r="V147" s="178">
        <v>0</v>
      </c>
      <c r="Z147" s="6" t="s">
        <v>224</v>
      </c>
      <c r="AA147" s="6" t="s">
        <v>212</v>
      </c>
      <c r="AB147" s="178">
        <v>0</v>
      </c>
    </row>
    <row r="148" spans="2:28" ht="15.75" hidden="1" customHeight="1" x14ac:dyDescent="0.25"/>
    <row r="149" spans="2:28" ht="15.75" hidden="1" customHeight="1" x14ac:dyDescent="0.25"/>
    <row r="150" spans="2:28" ht="15.75" hidden="1" customHeight="1" x14ac:dyDescent="0.25"/>
    <row r="151" spans="2:28" ht="15.75" hidden="1" customHeight="1" x14ac:dyDescent="0.25"/>
    <row r="152" spans="2:28" ht="15.75" hidden="1" customHeight="1" x14ac:dyDescent="0.25"/>
    <row r="153" spans="2:28" ht="15.75" hidden="1" customHeight="1" x14ac:dyDescent="0.25"/>
    <row r="154" spans="2:28" ht="15.75" hidden="1" customHeight="1" x14ac:dyDescent="0.25"/>
    <row r="155" spans="2:28" ht="15.75" hidden="1" customHeight="1" x14ac:dyDescent="0.25"/>
    <row r="156" spans="2:28" ht="15.75" hidden="1" customHeight="1" x14ac:dyDescent="0.25"/>
    <row r="157" spans="2:28" ht="16.5" hidden="1" customHeight="1" x14ac:dyDescent="0.25">
      <c r="B157" s="16"/>
      <c r="C157" s="16"/>
      <c r="D157" s="181"/>
      <c r="H157" s="16"/>
      <c r="I157" s="16"/>
      <c r="J157" s="181"/>
      <c r="N157" s="16"/>
      <c r="O157" s="16"/>
      <c r="P157" s="181"/>
      <c r="T157" s="16"/>
      <c r="U157" s="16"/>
      <c r="V157" s="181"/>
      <c r="Z157" s="16"/>
      <c r="AA157" s="16"/>
      <c r="AB157" s="181"/>
    </row>
    <row r="158" spans="2:28" ht="15.75" hidden="1" customHeight="1" x14ac:dyDescent="0.25"/>
  </sheetData>
  <sheetProtection algorithmName="SHA-512" hashValue="Ct4so9/jx4n1nhdBY6MdCu0QnXUPn4AYJRsIXOs1YJ+UWeMyN+I9jEGiZTSpN3X4nE+0nx8lEua4Z1cK7drOLg==" saltValue="9nU44cWB26agn+lyNKt4dA==" spinCount="100000" sheet="1" objects="1" scenarios="1"/>
  <sortState xmlns:xlrd2="http://schemas.microsoft.com/office/spreadsheetml/2017/richdata2" ref="A6:E21">
    <sortCondition descending="1" ref="C6:C21"/>
  </sortState>
  <mergeCells count="15">
    <mergeCell ref="A1:C1"/>
    <mergeCell ref="D2:E2"/>
    <mergeCell ref="D3:E3"/>
    <mergeCell ref="Y1:AA1"/>
    <mergeCell ref="AB2:AC2"/>
    <mergeCell ref="AB3:AC3"/>
    <mergeCell ref="S1:U1"/>
    <mergeCell ref="V2:W2"/>
    <mergeCell ref="V3:W3"/>
    <mergeCell ref="M1:O1"/>
    <mergeCell ref="P2:Q2"/>
    <mergeCell ref="P3:Q3"/>
    <mergeCell ref="G1:I1"/>
    <mergeCell ref="J2:K2"/>
    <mergeCell ref="J3:K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8"/>
  <sheetViews>
    <sheetView zoomScale="85" zoomScaleNormal="85" workbookViewId="0">
      <selection activeCell="D1" sqref="D1:D1048576"/>
    </sheetView>
  </sheetViews>
  <sheetFormatPr defaultRowHeight="15.75" x14ac:dyDescent="0.25"/>
  <cols>
    <col min="1" max="1" width="10.77734375" style="5" customWidth="1"/>
    <col min="2" max="2" width="27.77734375" style="6" customWidth="1"/>
    <col min="3" max="3" width="12.77734375" style="6" customWidth="1"/>
    <col min="4" max="4" width="12.77734375" style="8" customWidth="1"/>
    <col min="5" max="5" width="14.77734375" customWidth="1"/>
  </cols>
  <sheetData>
    <row r="1" spans="1:5" ht="19.5" thickTop="1" thickBot="1" x14ac:dyDescent="0.3">
      <c r="A1" s="272" t="s">
        <v>264</v>
      </c>
      <c r="B1" s="273"/>
      <c r="C1" s="274"/>
      <c r="D1" s="193">
        <v>44326</v>
      </c>
    </row>
    <row r="2" spans="1:5" ht="17.25" thickTop="1" thickBot="1" x14ac:dyDescent="0.3">
      <c r="A2"/>
      <c r="B2" s="5"/>
      <c r="C2" s="38"/>
      <c r="D2" s="275" t="s">
        <v>228</v>
      </c>
      <c r="E2" s="276"/>
    </row>
    <row r="3" spans="1:5" ht="16.5" thickBot="1" x14ac:dyDescent="0.3">
      <c r="A3"/>
      <c r="B3" s="7"/>
      <c r="C3" s="38"/>
      <c r="D3" s="277" t="s">
        <v>250</v>
      </c>
      <c r="E3" s="278"/>
    </row>
    <row r="4" spans="1:5" ht="31.5" x14ac:dyDescent="0.25">
      <c r="A4" s="3" t="s">
        <v>0</v>
      </c>
      <c r="B4" s="3" t="s">
        <v>1</v>
      </c>
      <c r="C4" s="4" t="s">
        <v>2</v>
      </c>
      <c r="D4" s="4" t="s">
        <v>3</v>
      </c>
      <c r="E4" s="4" t="s">
        <v>4</v>
      </c>
    </row>
    <row r="5" spans="1:5" x14ac:dyDescent="0.25">
      <c r="B5" s="6" t="s">
        <v>5</v>
      </c>
      <c r="C5" s="8"/>
      <c r="D5" s="9"/>
      <c r="E5" s="10"/>
    </row>
    <row r="6" spans="1:5" x14ac:dyDescent="0.25">
      <c r="C6" s="8"/>
      <c r="D6" s="9"/>
      <c r="E6" s="10"/>
    </row>
    <row r="7" spans="1:5" x14ac:dyDescent="0.25">
      <c r="A7" s="5">
        <v>14320</v>
      </c>
      <c r="B7" s="6" t="s">
        <v>269</v>
      </c>
      <c r="C7" s="8">
        <f t="shared" ref="C7:C28" si="0">D7*10</f>
        <v>316.96177</v>
      </c>
      <c r="D7" s="9">
        <f t="shared" ref="D7:D28" si="1">IFERROR(VLOOKUP(A7,raw_1,10,FALSE),0)</f>
        <v>31.696176999999999</v>
      </c>
      <c r="E7" s="10">
        <f t="shared" ref="E7:E28" si="2">IF(ISNA(VLOOKUP(B7,RMP_MFH,2,FALSE)),"N/A",VLOOKUP(B7,RMP_MFH,2,FALSE))</f>
        <v>468</v>
      </c>
    </row>
    <row r="8" spans="1:5" x14ac:dyDescent="0.25">
      <c r="A8" s="5">
        <v>51860</v>
      </c>
      <c r="B8" s="6" t="s">
        <v>115</v>
      </c>
      <c r="C8" s="8">
        <f t="shared" si="0"/>
        <v>150</v>
      </c>
      <c r="D8" s="9">
        <f t="shared" si="1"/>
        <v>15</v>
      </c>
      <c r="E8" s="10">
        <f t="shared" si="2"/>
        <v>1230</v>
      </c>
    </row>
    <row r="9" spans="1:5" x14ac:dyDescent="0.25">
      <c r="A9" s="5">
        <v>42120</v>
      </c>
      <c r="B9" s="6" t="s">
        <v>272</v>
      </c>
      <c r="C9" s="8">
        <f t="shared" si="0"/>
        <v>150</v>
      </c>
      <c r="D9" s="9">
        <f t="shared" si="1"/>
        <v>15</v>
      </c>
      <c r="E9" s="10">
        <f t="shared" si="2"/>
        <v>618</v>
      </c>
    </row>
    <row r="10" spans="1:5" x14ac:dyDescent="0.25">
      <c r="A10" s="5">
        <v>42205</v>
      </c>
      <c r="B10" s="6" t="s">
        <v>114</v>
      </c>
      <c r="C10" s="8">
        <f t="shared" si="0"/>
        <v>124</v>
      </c>
      <c r="D10" s="9">
        <f t="shared" si="1"/>
        <v>12.4</v>
      </c>
      <c r="E10" s="10">
        <f t="shared" si="2"/>
        <v>1950</v>
      </c>
    </row>
    <row r="11" spans="1:5" x14ac:dyDescent="0.25">
      <c r="A11" s="5">
        <v>10020</v>
      </c>
      <c r="B11" s="6" t="s">
        <v>17</v>
      </c>
      <c r="C11" s="8">
        <f t="shared" si="0"/>
        <v>100</v>
      </c>
      <c r="D11" s="9">
        <f t="shared" si="1"/>
        <v>10</v>
      </c>
      <c r="E11" s="10">
        <f t="shared" si="2"/>
        <v>430</v>
      </c>
    </row>
    <row r="12" spans="1:5" x14ac:dyDescent="0.25">
      <c r="A12" s="5">
        <v>40004</v>
      </c>
      <c r="B12" s="6" t="s">
        <v>15</v>
      </c>
      <c r="C12" s="8">
        <f t="shared" si="0"/>
        <v>50</v>
      </c>
      <c r="D12" s="9">
        <f t="shared" si="1"/>
        <v>5</v>
      </c>
      <c r="E12" s="10">
        <f t="shared" si="2"/>
        <v>556</v>
      </c>
    </row>
    <row r="13" spans="1:5" x14ac:dyDescent="0.25">
      <c r="A13" s="5">
        <v>20550</v>
      </c>
      <c r="B13" s="6" t="s">
        <v>109</v>
      </c>
      <c r="C13" s="8">
        <f t="shared" si="0"/>
        <v>50</v>
      </c>
      <c r="D13" s="9">
        <f t="shared" si="1"/>
        <v>5</v>
      </c>
      <c r="E13" s="10">
        <f t="shared" si="2"/>
        <v>450</v>
      </c>
    </row>
    <row r="14" spans="1:5" x14ac:dyDescent="0.25">
      <c r="A14" s="5">
        <v>91000</v>
      </c>
      <c r="B14" s="6" t="s">
        <v>306</v>
      </c>
      <c r="C14" s="8">
        <f t="shared" si="0"/>
        <v>20</v>
      </c>
      <c r="D14" s="9">
        <f t="shared" si="1"/>
        <v>2</v>
      </c>
      <c r="E14" s="10">
        <f t="shared" si="2"/>
        <v>2650</v>
      </c>
    </row>
    <row r="15" spans="1:5" x14ac:dyDescent="0.25">
      <c r="A15" s="5">
        <v>60080</v>
      </c>
      <c r="B15" s="6" t="s">
        <v>273</v>
      </c>
      <c r="C15" s="8">
        <f t="shared" si="0"/>
        <v>9</v>
      </c>
      <c r="D15" s="9">
        <f t="shared" si="1"/>
        <v>0.9</v>
      </c>
      <c r="E15" s="10">
        <f t="shared" si="2"/>
        <v>132</v>
      </c>
    </row>
    <row r="16" spans="1:5" x14ac:dyDescent="0.25">
      <c r="A16" s="5">
        <v>66069</v>
      </c>
      <c r="B16" s="6" t="s">
        <v>277</v>
      </c>
      <c r="C16" s="8">
        <f t="shared" si="0"/>
        <v>5.3882300000000001</v>
      </c>
      <c r="D16" s="9">
        <f t="shared" si="1"/>
        <v>0.53882300000000005</v>
      </c>
      <c r="E16" s="10">
        <f t="shared" si="2"/>
        <v>2610</v>
      </c>
    </row>
    <row r="17" spans="1:5" x14ac:dyDescent="0.25">
      <c r="A17" s="5">
        <v>94732</v>
      </c>
      <c r="B17" s="6" t="s">
        <v>280</v>
      </c>
      <c r="C17" s="8">
        <f t="shared" si="0"/>
        <v>5</v>
      </c>
      <c r="D17" s="9">
        <f t="shared" si="1"/>
        <v>0.5</v>
      </c>
      <c r="E17" s="10">
        <f t="shared" si="2"/>
        <v>3300</v>
      </c>
    </row>
    <row r="18" spans="1:5" x14ac:dyDescent="0.25">
      <c r="A18" s="5">
        <v>60220</v>
      </c>
      <c r="B18" s="6" t="s">
        <v>274</v>
      </c>
      <c r="C18" s="8">
        <f t="shared" si="0"/>
        <v>5</v>
      </c>
      <c r="D18" s="9">
        <f t="shared" si="1"/>
        <v>0.5</v>
      </c>
      <c r="E18" s="10">
        <f t="shared" si="2"/>
        <v>970</v>
      </c>
    </row>
    <row r="19" spans="1:5" x14ac:dyDescent="0.25">
      <c r="A19" s="5">
        <v>60700</v>
      </c>
      <c r="B19" s="6" t="s">
        <v>275</v>
      </c>
      <c r="C19" s="8">
        <f t="shared" si="0"/>
        <v>3.5</v>
      </c>
      <c r="D19" s="9">
        <f t="shared" si="1"/>
        <v>0.35</v>
      </c>
      <c r="E19" s="10">
        <f t="shared" si="2"/>
        <v>115</v>
      </c>
    </row>
    <row r="20" spans="1:5" x14ac:dyDescent="0.25">
      <c r="A20" s="5">
        <v>62325</v>
      </c>
      <c r="B20" s="6" t="s">
        <v>117</v>
      </c>
      <c r="C20" s="8">
        <f t="shared" si="0"/>
        <v>3</v>
      </c>
      <c r="D20" s="9">
        <f t="shared" si="1"/>
        <v>0.3</v>
      </c>
      <c r="E20" s="10">
        <f t="shared" si="2"/>
        <v>3270</v>
      </c>
    </row>
    <row r="21" spans="1:5" x14ac:dyDescent="0.25">
      <c r="A21" s="5">
        <v>922558</v>
      </c>
      <c r="B21" s="6" t="s">
        <v>283</v>
      </c>
      <c r="C21" s="8">
        <f t="shared" si="0"/>
        <v>2</v>
      </c>
      <c r="D21" s="9">
        <f t="shared" si="1"/>
        <v>0.2</v>
      </c>
      <c r="E21" s="10">
        <f t="shared" si="2"/>
        <v>8350</v>
      </c>
    </row>
    <row r="22" spans="1:5" x14ac:dyDescent="0.25">
      <c r="A22" s="5">
        <v>66100</v>
      </c>
      <c r="B22" s="6" t="s">
        <v>13</v>
      </c>
      <c r="C22" s="8">
        <f t="shared" si="0"/>
        <v>1.7999999999999998</v>
      </c>
      <c r="D22" s="9">
        <f t="shared" si="1"/>
        <v>0.18</v>
      </c>
      <c r="E22" s="10">
        <f t="shared" si="2"/>
        <v>4495</v>
      </c>
    </row>
    <row r="23" spans="1:5" x14ac:dyDescent="0.25">
      <c r="A23" s="5">
        <v>66300</v>
      </c>
      <c r="B23" s="6" t="s">
        <v>11</v>
      </c>
      <c r="C23" s="8">
        <f t="shared" si="0"/>
        <v>1.6</v>
      </c>
      <c r="D23" s="9">
        <f t="shared" si="1"/>
        <v>0.16</v>
      </c>
      <c r="E23" s="10">
        <f t="shared" si="2"/>
        <v>4000</v>
      </c>
    </row>
    <row r="24" spans="1:5" x14ac:dyDescent="0.25">
      <c r="A24" s="5">
        <v>94910</v>
      </c>
      <c r="B24" s="6" t="s">
        <v>258</v>
      </c>
      <c r="C24" s="8">
        <f t="shared" si="0"/>
        <v>1</v>
      </c>
      <c r="D24" s="9">
        <f t="shared" si="1"/>
        <v>0.1</v>
      </c>
      <c r="E24" s="10">
        <f t="shared" si="2"/>
        <v>10480</v>
      </c>
    </row>
    <row r="25" spans="1:5" x14ac:dyDescent="0.25">
      <c r="A25" s="5">
        <v>64680</v>
      </c>
      <c r="B25" s="6" t="s">
        <v>12</v>
      </c>
      <c r="C25" s="8">
        <f t="shared" si="0"/>
        <v>0.8</v>
      </c>
      <c r="D25" s="9">
        <f t="shared" si="1"/>
        <v>0.08</v>
      </c>
      <c r="E25" s="10">
        <f t="shared" si="2"/>
        <v>3850</v>
      </c>
    </row>
    <row r="26" spans="1:5" x14ac:dyDescent="0.25">
      <c r="A26" s="5">
        <v>61800</v>
      </c>
      <c r="B26" s="6" t="s">
        <v>116</v>
      </c>
      <c r="C26" s="8">
        <f t="shared" si="0"/>
        <v>0.4</v>
      </c>
      <c r="D26" s="9">
        <f t="shared" si="1"/>
        <v>0.04</v>
      </c>
      <c r="E26" s="10">
        <f t="shared" si="2"/>
        <v>4225</v>
      </c>
    </row>
    <row r="27" spans="1:5" x14ac:dyDescent="0.25">
      <c r="A27" s="5">
        <v>94179</v>
      </c>
      <c r="B27" s="6" t="s">
        <v>279</v>
      </c>
      <c r="C27" s="8">
        <f t="shared" si="0"/>
        <v>0.3</v>
      </c>
      <c r="D27" s="9">
        <f t="shared" si="1"/>
        <v>0.03</v>
      </c>
      <c r="E27" s="10">
        <f t="shared" si="2"/>
        <v>3000</v>
      </c>
    </row>
    <row r="28" spans="1:5" x14ac:dyDescent="0.25">
      <c r="A28" s="5">
        <v>66200</v>
      </c>
      <c r="B28" s="6" t="s">
        <v>14</v>
      </c>
      <c r="C28" s="8">
        <f t="shared" si="0"/>
        <v>0.25</v>
      </c>
      <c r="D28" s="9">
        <f t="shared" si="1"/>
        <v>2.5000000000000001E-2</v>
      </c>
      <c r="E28" s="10">
        <f t="shared" si="2"/>
        <v>13250</v>
      </c>
    </row>
    <row r="29" spans="1:5" x14ac:dyDescent="0.25">
      <c r="C29" s="8"/>
      <c r="D29" s="9"/>
      <c r="E29" s="10"/>
    </row>
    <row r="30" spans="1:5" x14ac:dyDescent="0.25">
      <c r="C30" s="8"/>
      <c r="D30" s="9"/>
      <c r="E30" s="10"/>
    </row>
    <row r="31" spans="1:5" x14ac:dyDescent="0.25">
      <c r="C31" s="8"/>
      <c r="D31" s="9"/>
      <c r="E31" s="10"/>
    </row>
    <row r="32" spans="1:5" x14ac:dyDescent="0.25">
      <c r="C32" s="8"/>
      <c r="D32" s="9"/>
      <c r="E32" s="10"/>
    </row>
    <row r="33" spans="2:5" x14ac:dyDescent="0.25">
      <c r="C33" s="8"/>
      <c r="D33" s="9"/>
      <c r="E33" s="10"/>
    </row>
    <row r="34" spans="2:5" ht="16.5" thickBot="1" x14ac:dyDescent="0.3">
      <c r="B34" s="11" t="s">
        <v>6</v>
      </c>
      <c r="C34" s="13">
        <f>SUM(C7:C33)</f>
        <v>999.99999999999989</v>
      </c>
      <c r="D34" s="13">
        <f>SUM(D7:D33)</f>
        <v>100</v>
      </c>
      <c r="E34" s="37" cm="1">
        <f t="array" ref="E34">SUMPRODUCT(C7:C33,E7:E33/1000)</f>
        <v>911.10538866000002</v>
      </c>
    </row>
    <row r="35" spans="2:5" x14ac:dyDescent="0.25">
      <c r="C35"/>
      <c r="D35"/>
      <c r="E35" s="194"/>
    </row>
    <row r="36" spans="2:5" ht="16.5" thickBot="1" x14ac:dyDescent="0.3">
      <c r="C36"/>
      <c r="D36"/>
      <c r="E36" s="187"/>
    </row>
    <row r="37" spans="2:5" x14ac:dyDescent="0.25">
      <c r="B37" s="14" t="s">
        <v>7</v>
      </c>
      <c r="C37" s="14" t="s">
        <v>8</v>
      </c>
      <c r="D37" s="14" t="s">
        <v>9</v>
      </c>
    </row>
    <row r="38" spans="2:5" x14ac:dyDescent="0.25">
      <c r="B38" s="6" t="s">
        <v>18</v>
      </c>
      <c r="C38" s="6" t="s">
        <v>19</v>
      </c>
      <c r="D38" s="178">
        <f t="shared" ref="D38:D69" si="3">IFERROR(VLOOKUP(B38,raw_2,9,FALSE),0)</f>
        <v>100</v>
      </c>
    </row>
    <row r="39" spans="2:5" x14ac:dyDescent="0.25">
      <c r="B39" s="6" t="s">
        <v>20</v>
      </c>
      <c r="C39" s="6" t="s">
        <v>19</v>
      </c>
      <c r="D39" s="178">
        <f t="shared" si="3"/>
        <v>90.669309999999996</v>
      </c>
    </row>
    <row r="40" spans="2:5" x14ac:dyDescent="0.25">
      <c r="B40" s="6" t="s">
        <v>21</v>
      </c>
      <c r="C40" s="6" t="s">
        <v>19</v>
      </c>
      <c r="D40" s="178">
        <f t="shared" si="3"/>
        <v>22.755053</v>
      </c>
    </row>
    <row r="41" spans="2:5" x14ac:dyDescent="0.25">
      <c r="B41" s="6" t="s">
        <v>22</v>
      </c>
      <c r="C41" s="6" t="s">
        <v>19</v>
      </c>
      <c r="D41" s="178">
        <f t="shared" si="3"/>
        <v>3.7531599999999998</v>
      </c>
    </row>
    <row r="42" spans="2:5" x14ac:dyDescent="0.25">
      <c r="B42" s="15" t="s">
        <v>23</v>
      </c>
      <c r="C42" s="15" t="s">
        <v>19</v>
      </c>
      <c r="D42" s="179">
        <f t="shared" si="3"/>
        <v>3.2887010000000001</v>
      </c>
    </row>
    <row r="43" spans="2:5" x14ac:dyDescent="0.25">
      <c r="B43" s="6" t="s">
        <v>24</v>
      </c>
      <c r="C43" s="6" t="s">
        <v>19</v>
      </c>
      <c r="D43" s="178">
        <f t="shared" si="3"/>
        <v>6.3580649999999999</v>
      </c>
    </row>
    <row r="44" spans="2:5" x14ac:dyDescent="0.25">
      <c r="B44" s="6" t="s">
        <v>25</v>
      </c>
      <c r="C44" s="6" t="s">
        <v>19</v>
      </c>
      <c r="D44" s="178">
        <f t="shared" si="3"/>
        <v>9.3306900000000006</v>
      </c>
    </row>
    <row r="45" spans="2:5" x14ac:dyDescent="0.25">
      <c r="B45" s="6" t="s">
        <v>178</v>
      </c>
      <c r="C45" s="6" t="s">
        <v>19</v>
      </c>
      <c r="D45" s="178">
        <f t="shared" si="3"/>
        <v>54.441679999999998</v>
      </c>
    </row>
    <row r="46" spans="2:5" x14ac:dyDescent="0.25">
      <c r="B46" s="6" t="s">
        <v>26</v>
      </c>
      <c r="C46" s="6" t="s">
        <v>19</v>
      </c>
      <c r="D46" s="178">
        <f t="shared" si="3"/>
        <v>10.536607</v>
      </c>
    </row>
    <row r="47" spans="2:5" x14ac:dyDescent="0.25">
      <c r="B47" s="6" t="s">
        <v>27</v>
      </c>
      <c r="C47" s="6" t="s">
        <v>19</v>
      </c>
      <c r="D47" s="178">
        <f t="shared" si="3"/>
        <v>4.3066849999999999</v>
      </c>
    </row>
    <row r="48" spans="2:5" x14ac:dyDescent="0.25">
      <c r="B48" s="6" t="s">
        <v>179</v>
      </c>
      <c r="C48" s="6" t="s">
        <v>19</v>
      </c>
      <c r="D48" s="178">
        <f t="shared" si="3"/>
        <v>9.9120249999999999</v>
      </c>
    </row>
    <row r="49" spans="1:4" x14ac:dyDescent="0.25">
      <c r="B49" s="6" t="s">
        <v>28</v>
      </c>
      <c r="C49" s="6" t="s">
        <v>19</v>
      </c>
      <c r="D49" s="178">
        <f t="shared" si="3"/>
        <v>25.064771</v>
      </c>
    </row>
    <row r="50" spans="1:4" x14ac:dyDescent="0.25">
      <c r="B50" s="6" t="s">
        <v>180</v>
      </c>
      <c r="C50" s="6" t="s">
        <v>19</v>
      </c>
      <c r="D50" s="178">
        <f t="shared" si="3"/>
        <v>2.5679059999999998</v>
      </c>
    </row>
    <row r="51" spans="1:4" x14ac:dyDescent="0.25">
      <c r="B51" s="15" t="s">
        <v>119</v>
      </c>
      <c r="C51" s="15" t="s">
        <v>19</v>
      </c>
      <c r="D51" s="179">
        <f t="shared" si="3"/>
        <v>12</v>
      </c>
    </row>
    <row r="52" spans="1:4" x14ac:dyDescent="0.25">
      <c r="B52" s="6" t="s">
        <v>29</v>
      </c>
      <c r="C52" s="6" t="s">
        <v>30</v>
      </c>
      <c r="D52" s="178">
        <f t="shared" si="3"/>
        <v>3.4456709999999999</v>
      </c>
    </row>
    <row r="53" spans="1:4" x14ac:dyDescent="0.25">
      <c r="B53" s="6" t="s">
        <v>31</v>
      </c>
      <c r="C53" s="6" t="s">
        <v>30</v>
      </c>
      <c r="D53" s="178">
        <f t="shared" si="3"/>
        <v>3.2789609999999998</v>
      </c>
    </row>
    <row r="54" spans="1:4" x14ac:dyDescent="0.25">
      <c r="B54" s="15" t="s">
        <v>32</v>
      </c>
      <c r="C54" s="15" t="s">
        <v>30</v>
      </c>
      <c r="D54" s="179">
        <f t="shared" si="3"/>
        <v>2.401834</v>
      </c>
    </row>
    <row r="55" spans="1:4" x14ac:dyDescent="0.25">
      <c r="B55" s="18" t="s">
        <v>33</v>
      </c>
      <c r="C55" s="18" t="s">
        <v>30</v>
      </c>
      <c r="D55" s="180">
        <f t="shared" si="3"/>
        <v>2.4548830000000001</v>
      </c>
    </row>
    <row r="56" spans="1:4" x14ac:dyDescent="0.25">
      <c r="B56" s="15" t="s">
        <v>34</v>
      </c>
      <c r="C56" s="15" t="s">
        <v>19</v>
      </c>
      <c r="D56" s="179">
        <f t="shared" si="3"/>
        <v>0.606348</v>
      </c>
    </row>
    <row r="57" spans="1:4" s="36" customFormat="1" x14ac:dyDescent="0.25">
      <c r="A57" s="35"/>
      <c r="B57" s="18" t="s">
        <v>225</v>
      </c>
      <c r="C57" s="18" t="s">
        <v>19</v>
      </c>
      <c r="D57" s="180">
        <f t="shared" si="3"/>
        <v>0</v>
      </c>
    </row>
    <row r="58" spans="1:4" s="36" customFormat="1" x14ac:dyDescent="0.25">
      <c r="A58" s="35"/>
      <c r="B58" s="18" t="s">
        <v>226</v>
      </c>
      <c r="C58" s="18" t="s">
        <v>19</v>
      </c>
      <c r="D58" s="180">
        <f t="shared" si="3"/>
        <v>0</v>
      </c>
    </row>
    <row r="59" spans="1:4" x14ac:dyDescent="0.25">
      <c r="B59" s="6" t="s">
        <v>35</v>
      </c>
      <c r="C59" s="6" t="s">
        <v>19</v>
      </c>
      <c r="D59" s="178">
        <f t="shared" si="3"/>
        <v>0.58564700000000003</v>
      </c>
    </row>
    <row r="60" spans="1:4" x14ac:dyDescent="0.25">
      <c r="B60" s="15" t="s">
        <v>36</v>
      </c>
      <c r="C60" s="15" t="s">
        <v>19</v>
      </c>
      <c r="D60" s="179">
        <f t="shared" si="3"/>
        <v>0.48061799999999999</v>
      </c>
    </row>
    <row r="61" spans="1:4" x14ac:dyDescent="0.25">
      <c r="B61" s="6" t="s">
        <v>37</v>
      </c>
      <c r="C61" s="6" t="s">
        <v>19</v>
      </c>
      <c r="D61" s="178">
        <f t="shared" si="3"/>
        <v>0.40135900000000002</v>
      </c>
    </row>
    <row r="62" spans="1:4" x14ac:dyDescent="0.25">
      <c r="B62" s="6" t="s">
        <v>38</v>
      </c>
      <c r="C62" s="6" t="s">
        <v>19</v>
      </c>
      <c r="D62" s="178">
        <f t="shared" si="3"/>
        <v>0.50314400000000004</v>
      </c>
    </row>
    <row r="63" spans="1:4" x14ac:dyDescent="0.25">
      <c r="B63" s="6" t="s">
        <v>39</v>
      </c>
      <c r="C63" s="6" t="s">
        <v>19</v>
      </c>
      <c r="D63" s="178">
        <f t="shared" si="3"/>
        <v>0.22702900000000001</v>
      </c>
    </row>
    <row r="64" spans="1:4" x14ac:dyDescent="0.25">
      <c r="B64" s="15" t="s">
        <v>40</v>
      </c>
      <c r="C64" s="15" t="s">
        <v>19</v>
      </c>
      <c r="D64" s="179">
        <f t="shared" si="3"/>
        <v>0.122</v>
      </c>
    </row>
    <row r="65" spans="2:4" x14ac:dyDescent="0.25">
      <c r="B65" s="6" t="s">
        <v>41</v>
      </c>
      <c r="C65" s="6" t="s">
        <v>19</v>
      </c>
      <c r="D65" s="178">
        <f t="shared" si="3"/>
        <v>0.10979999999999999</v>
      </c>
    </row>
    <row r="66" spans="2:4" x14ac:dyDescent="0.25">
      <c r="B66" s="6" t="s">
        <v>42</v>
      </c>
      <c r="C66" s="6" t="s">
        <v>19</v>
      </c>
      <c r="D66" s="178">
        <f t="shared" si="3"/>
        <v>0.11224000000000001</v>
      </c>
    </row>
    <row r="67" spans="2:4" x14ac:dyDescent="0.25">
      <c r="B67" s="15" t="s">
        <v>43</v>
      </c>
      <c r="C67" s="15" t="s">
        <v>44</v>
      </c>
      <c r="D67" s="186">
        <f t="shared" si="3"/>
        <v>1500</v>
      </c>
    </row>
    <row r="68" spans="2:4" x14ac:dyDescent="0.25">
      <c r="B68" s="15" t="s">
        <v>45</v>
      </c>
      <c r="C68" s="15" t="s">
        <v>46</v>
      </c>
      <c r="D68" s="182">
        <f t="shared" si="3"/>
        <v>1.035347</v>
      </c>
    </row>
    <row r="69" spans="2:4" x14ac:dyDescent="0.25">
      <c r="B69" s="6" t="s">
        <v>47</v>
      </c>
      <c r="C69" s="6" t="s">
        <v>46</v>
      </c>
      <c r="D69" s="178">
        <f t="shared" si="3"/>
        <v>1.261601</v>
      </c>
    </row>
    <row r="70" spans="2:4" x14ac:dyDescent="0.25">
      <c r="B70" s="6" t="s">
        <v>48</v>
      </c>
      <c r="C70" s="6" t="s">
        <v>46</v>
      </c>
      <c r="D70" s="178">
        <f t="shared" ref="D70:D101" si="4">IFERROR(VLOOKUP(B70,raw_2,9,FALSE),0)</f>
        <v>1.5107379999999999</v>
      </c>
    </row>
    <row r="71" spans="2:4" x14ac:dyDescent="0.25">
      <c r="B71" s="6" t="s">
        <v>181</v>
      </c>
      <c r="C71" s="6" t="s">
        <v>46</v>
      </c>
      <c r="D71" s="178">
        <f t="shared" si="4"/>
        <v>1.2051190000000001</v>
      </c>
    </row>
    <row r="72" spans="2:4" x14ac:dyDescent="0.25">
      <c r="B72" s="15" t="s">
        <v>49</v>
      </c>
      <c r="C72" s="15" t="s">
        <v>19</v>
      </c>
      <c r="D72" s="179">
        <f t="shared" si="4"/>
        <v>0.27245000000000003</v>
      </c>
    </row>
    <row r="73" spans="2:4" x14ac:dyDescent="0.25">
      <c r="B73" s="6" t="s">
        <v>50</v>
      </c>
      <c r="C73" s="6" t="s">
        <v>19</v>
      </c>
      <c r="D73" s="178">
        <f t="shared" si="4"/>
        <v>1.229762</v>
      </c>
    </row>
    <row r="74" spans="2:4" x14ac:dyDescent="0.25">
      <c r="B74" s="6" t="s">
        <v>51</v>
      </c>
      <c r="C74" s="6" t="s">
        <v>19</v>
      </c>
      <c r="D74" s="178">
        <f t="shared" si="4"/>
        <v>0.54338799999999998</v>
      </c>
    </row>
    <row r="75" spans="2:4" x14ac:dyDescent="0.25">
      <c r="B75" s="6" t="s">
        <v>52</v>
      </c>
      <c r="C75" s="6" t="s">
        <v>19</v>
      </c>
      <c r="D75" s="178">
        <f t="shared" si="4"/>
        <v>0.20180500000000001</v>
      </c>
    </row>
    <row r="76" spans="2:4" x14ac:dyDescent="0.25">
      <c r="B76" s="6" t="s">
        <v>53</v>
      </c>
      <c r="C76" s="6" t="s">
        <v>19</v>
      </c>
      <c r="D76" s="178">
        <f t="shared" si="4"/>
        <v>0.26274999999999998</v>
      </c>
    </row>
    <row r="77" spans="2:4" x14ac:dyDescent="0.25">
      <c r="B77" s="15" t="s">
        <v>182</v>
      </c>
      <c r="C77" s="15" t="s">
        <v>19</v>
      </c>
      <c r="D77" s="179">
        <f t="shared" si="4"/>
        <v>0.68974599999999997</v>
      </c>
    </row>
    <row r="78" spans="2:4" x14ac:dyDescent="0.25">
      <c r="B78" s="6" t="s">
        <v>183</v>
      </c>
      <c r="C78" s="6" t="s">
        <v>184</v>
      </c>
      <c r="D78" s="178">
        <f t="shared" si="4"/>
        <v>170.22344899999999</v>
      </c>
    </row>
    <row r="79" spans="2:4" x14ac:dyDescent="0.25">
      <c r="B79" s="6" t="s">
        <v>54</v>
      </c>
      <c r="C79" s="6" t="s">
        <v>19</v>
      </c>
      <c r="D79" s="178">
        <f t="shared" si="4"/>
        <v>1.444061</v>
      </c>
    </row>
    <row r="80" spans="2:4" x14ac:dyDescent="0.25">
      <c r="B80" s="15" t="s">
        <v>55</v>
      </c>
      <c r="C80" s="15" t="s">
        <v>19</v>
      </c>
      <c r="D80" s="179">
        <f t="shared" si="4"/>
        <v>1.3012170000000001</v>
      </c>
    </row>
    <row r="81" spans="2:4" x14ac:dyDescent="0.25">
      <c r="B81" s="15" t="s">
        <v>56</v>
      </c>
      <c r="C81" s="15" t="s">
        <v>46</v>
      </c>
      <c r="D81" s="179">
        <f t="shared" si="4"/>
        <v>0.34878399999999998</v>
      </c>
    </row>
    <row r="82" spans="2:4" x14ac:dyDescent="0.25">
      <c r="B82" s="6" t="s">
        <v>57</v>
      </c>
      <c r="C82" s="6" t="s">
        <v>46</v>
      </c>
      <c r="D82" s="178">
        <f t="shared" si="4"/>
        <v>0.23025799999999999</v>
      </c>
    </row>
    <row r="83" spans="2:4" x14ac:dyDescent="0.25">
      <c r="B83" s="15" t="s">
        <v>58</v>
      </c>
      <c r="C83" s="15" t="s">
        <v>46</v>
      </c>
      <c r="D83" s="179">
        <f t="shared" si="4"/>
        <v>0.57904299999999997</v>
      </c>
    </row>
    <row r="84" spans="2:4" x14ac:dyDescent="0.25">
      <c r="B84" s="15" t="s">
        <v>59</v>
      </c>
      <c r="C84" s="15" t="s">
        <v>46</v>
      </c>
      <c r="D84" s="179">
        <f t="shared" si="4"/>
        <v>0.65074600000000005</v>
      </c>
    </row>
    <row r="85" spans="2:4" x14ac:dyDescent="0.25">
      <c r="B85" s="15" t="s">
        <v>60</v>
      </c>
      <c r="C85" s="15" t="s">
        <v>46</v>
      </c>
      <c r="D85" s="179">
        <f t="shared" si="4"/>
        <v>0.199877</v>
      </c>
    </row>
    <row r="86" spans="2:4" x14ac:dyDescent="0.25">
      <c r="B86" s="15" t="s">
        <v>61</v>
      </c>
      <c r="C86" s="15" t="s">
        <v>46</v>
      </c>
      <c r="D86" s="179">
        <f t="shared" si="4"/>
        <v>0.63872399999999996</v>
      </c>
    </row>
    <row r="87" spans="2:4" x14ac:dyDescent="0.25">
      <c r="B87" s="15" t="s">
        <v>62</v>
      </c>
      <c r="C87" s="15" t="s">
        <v>46</v>
      </c>
      <c r="D87" s="179">
        <f t="shared" si="4"/>
        <v>0.70007600000000003</v>
      </c>
    </row>
    <row r="88" spans="2:4" x14ac:dyDescent="0.25">
      <c r="B88" s="6" t="s">
        <v>63</v>
      </c>
      <c r="C88" s="6" t="s">
        <v>46</v>
      </c>
      <c r="D88" s="178">
        <f t="shared" si="4"/>
        <v>1.1337969999999999</v>
      </c>
    </row>
    <row r="89" spans="2:4" x14ac:dyDescent="0.25">
      <c r="B89" s="6" t="s">
        <v>64</v>
      </c>
      <c r="C89" s="6" t="s">
        <v>46</v>
      </c>
      <c r="D89" s="178">
        <f t="shared" si="4"/>
        <v>1.003404</v>
      </c>
    </row>
    <row r="90" spans="2:4" x14ac:dyDescent="0.25">
      <c r="B90" s="6" t="s">
        <v>65</v>
      </c>
      <c r="C90" s="6" t="s">
        <v>46</v>
      </c>
      <c r="D90" s="178">
        <f t="shared" si="4"/>
        <v>0.37803100000000001</v>
      </c>
    </row>
    <row r="91" spans="2:4" x14ac:dyDescent="0.25">
      <c r="B91" s="6" t="s">
        <v>66</v>
      </c>
      <c r="C91" s="6" t="s">
        <v>46</v>
      </c>
      <c r="D91" s="178">
        <f t="shared" si="4"/>
        <v>0.73970000000000002</v>
      </c>
    </row>
    <row r="92" spans="2:4" x14ac:dyDescent="0.25">
      <c r="B92" s="6" t="s">
        <v>67</v>
      </c>
      <c r="C92" s="6" t="s">
        <v>46</v>
      </c>
      <c r="D92" s="178">
        <f t="shared" si="4"/>
        <v>0.52229400000000004</v>
      </c>
    </row>
    <row r="93" spans="2:4" x14ac:dyDescent="0.25">
      <c r="B93" s="6" t="s">
        <v>68</v>
      </c>
      <c r="C93" s="6" t="s">
        <v>46</v>
      </c>
      <c r="D93" s="178">
        <f t="shared" si="4"/>
        <v>1.2619940000000001</v>
      </c>
    </row>
    <row r="94" spans="2:4" x14ac:dyDescent="0.25">
      <c r="B94" s="6" t="s">
        <v>69</v>
      </c>
      <c r="C94" s="6" t="s">
        <v>70</v>
      </c>
      <c r="D94" s="178">
        <f t="shared" si="4"/>
        <v>13.012169</v>
      </c>
    </row>
    <row r="95" spans="2:4" x14ac:dyDescent="0.25">
      <c r="B95" s="15" t="s">
        <v>71</v>
      </c>
      <c r="C95" s="15" t="s">
        <v>72</v>
      </c>
      <c r="D95" s="179">
        <f t="shared" si="4"/>
        <v>5.4175969999999998</v>
      </c>
    </row>
    <row r="96" spans="2:4" x14ac:dyDescent="0.25">
      <c r="B96" s="6" t="s">
        <v>73</v>
      </c>
      <c r="C96" s="6" t="s">
        <v>72</v>
      </c>
      <c r="D96" s="180">
        <f t="shared" si="4"/>
        <v>5.3005259999999996</v>
      </c>
    </row>
    <row r="97" spans="2:4" x14ac:dyDescent="0.25">
      <c r="B97" s="6" t="s">
        <v>74</v>
      </c>
      <c r="C97" s="6" t="s">
        <v>19</v>
      </c>
      <c r="D97" s="178">
        <f t="shared" si="4"/>
        <v>0.45384400000000003</v>
      </c>
    </row>
    <row r="98" spans="2:4" x14ac:dyDescent="0.25">
      <c r="B98" s="6" t="s">
        <v>75</v>
      </c>
      <c r="C98" s="6" t="s">
        <v>19</v>
      </c>
      <c r="D98" s="178">
        <f t="shared" si="4"/>
        <v>0.29961599999999999</v>
      </c>
    </row>
    <row r="99" spans="2:4" x14ac:dyDescent="0.25">
      <c r="B99" s="6" t="s">
        <v>76</v>
      </c>
      <c r="C99" s="6" t="s">
        <v>19</v>
      </c>
      <c r="D99" s="178">
        <f t="shared" si="4"/>
        <v>0.75346000000000002</v>
      </c>
    </row>
    <row r="100" spans="2:4" x14ac:dyDescent="0.25">
      <c r="B100" s="6" t="s">
        <v>77</v>
      </c>
      <c r="C100" s="6" t="s">
        <v>19</v>
      </c>
      <c r="D100" s="178">
        <f t="shared" si="4"/>
        <v>0.84676200000000001</v>
      </c>
    </row>
    <row r="101" spans="2:4" x14ac:dyDescent="0.25">
      <c r="B101" s="6" t="s">
        <v>78</v>
      </c>
      <c r="C101" s="6" t="s">
        <v>19</v>
      </c>
      <c r="D101" s="178">
        <f t="shared" si="4"/>
        <v>0.26008300000000001</v>
      </c>
    </row>
    <row r="102" spans="2:4" x14ac:dyDescent="0.25">
      <c r="B102" s="6" t="s">
        <v>79</v>
      </c>
      <c r="C102" s="6" t="s">
        <v>19</v>
      </c>
      <c r="D102" s="178">
        <f t="shared" ref="D102:D133" si="5">IFERROR(VLOOKUP(B102,raw_2,9,FALSE),0)</f>
        <v>0.83111900000000005</v>
      </c>
    </row>
    <row r="103" spans="2:4" x14ac:dyDescent="0.25">
      <c r="B103" s="6" t="s">
        <v>80</v>
      </c>
      <c r="C103" s="6" t="s">
        <v>19</v>
      </c>
      <c r="D103" s="178">
        <f t="shared" si="5"/>
        <v>0.91095000000000004</v>
      </c>
    </row>
    <row r="104" spans="2:4" x14ac:dyDescent="0.25">
      <c r="B104" s="6" t="s">
        <v>81</v>
      </c>
      <c r="C104" s="6" t="s">
        <v>19</v>
      </c>
      <c r="D104" s="178">
        <f t="shared" si="5"/>
        <v>1.4753160000000001</v>
      </c>
    </row>
    <row r="105" spans="2:4" x14ac:dyDescent="0.25">
      <c r="B105" s="6" t="s">
        <v>185</v>
      </c>
      <c r="C105" s="6" t="s">
        <v>19</v>
      </c>
      <c r="D105" s="178">
        <f t="shared" si="5"/>
        <v>1.3056460000000001</v>
      </c>
    </row>
    <row r="106" spans="2:4" x14ac:dyDescent="0.25">
      <c r="B106" s="6" t="s">
        <v>186</v>
      </c>
      <c r="C106" s="6" t="s">
        <v>19</v>
      </c>
      <c r="D106" s="178">
        <f t="shared" si="5"/>
        <v>0.4919</v>
      </c>
    </row>
    <row r="107" spans="2:4" x14ac:dyDescent="0.25">
      <c r="B107" s="6" t="s">
        <v>187</v>
      </c>
      <c r="C107" s="6" t="s">
        <v>19</v>
      </c>
      <c r="D107" s="178">
        <f t="shared" si="5"/>
        <v>0.96250999999999998</v>
      </c>
    </row>
    <row r="108" spans="2:4" x14ac:dyDescent="0.25">
      <c r="B108" s="6" t="s">
        <v>188</v>
      </c>
      <c r="C108" s="6" t="s">
        <v>19</v>
      </c>
      <c r="D108" s="178">
        <f t="shared" si="5"/>
        <v>0.67961700000000003</v>
      </c>
    </row>
    <row r="109" spans="2:4" x14ac:dyDescent="0.25">
      <c r="B109" s="6" t="s">
        <v>189</v>
      </c>
      <c r="C109" s="6" t="s">
        <v>19</v>
      </c>
      <c r="D109" s="178">
        <f t="shared" si="5"/>
        <v>1.642128</v>
      </c>
    </row>
    <row r="110" spans="2:4" x14ac:dyDescent="0.25">
      <c r="B110" s="6" t="s">
        <v>82</v>
      </c>
      <c r="C110" s="6" t="s">
        <v>83</v>
      </c>
      <c r="D110" s="184">
        <f t="shared" si="5"/>
        <v>150</v>
      </c>
    </row>
    <row r="111" spans="2:4" x14ac:dyDescent="0.25">
      <c r="B111" s="6" t="s">
        <v>84</v>
      </c>
      <c r="C111" s="6" t="s">
        <v>83</v>
      </c>
      <c r="D111" s="184">
        <f t="shared" si="5"/>
        <v>120.8</v>
      </c>
    </row>
    <row r="112" spans="2:4" x14ac:dyDescent="0.25">
      <c r="B112" s="6" t="s">
        <v>85</v>
      </c>
      <c r="C112" s="6" t="s">
        <v>83</v>
      </c>
      <c r="D112" s="184">
        <f t="shared" si="5"/>
        <v>2310</v>
      </c>
    </row>
    <row r="113" spans="2:4" x14ac:dyDescent="0.25">
      <c r="B113" s="6" t="s">
        <v>86</v>
      </c>
      <c r="C113" s="6" t="s">
        <v>83</v>
      </c>
      <c r="D113" s="184">
        <f t="shared" si="5"/>
        <v>40</v>
      </c>
    </row>
    <row r="114" spans="2:4" x14ac:dyDescent="0.25">
      <c r="B114" s="15" t="s">
        <v>87</v>
      </c>
      <c r="C114" s="15" t="s">
        <v>83</v>
      </c>
      <c r="D114" s="179">
        <f t="shared" si="5"/>
        <v>0.3</v>
      </c>
    </row>
    <row r="115" spans="2:4" x14ac:dyDescent="0.25">
      <c r="B115" s="6" t="s">
        <v>88</v>
      </c>
      <c r="C115" s="6" t="s">
        <v>83</v>
      </c>
      <c r="D115" s="184">
        <f t="shared" si="5"/>
        <v>1</v>
      </c>
    </row>
    <row r="116" spans="2:4" ht="15.75" hidden="1" customHeight="1" x14ac:dyDescent="0.25">
      <c r="B116" s="6" t="s">
        <v>89</v>
      </c>
      <c r="C116" s="6" t="s">
        <v>90</v>
      </c>
      <c r="D116" s="185">
        <f t="shared" si="5"/>
        <v>12000</v>
      </c>
    </row>
    <row r="117" spans="2:4" ht="15.75" hidden="1" customHeight="1" x14ac:dyDescent="0.25">
      <c r="B117" s="6" t="s">
        <v>91</v>
      </c>
      <c r="C117" s="6" t="s">
        <v>90</v>
      </c>
      <c r="D117" s="185">
        <f t="shared" si="5"/>
        <v>1500</v>
      </c>
    </row>
    <row r="118" spans="2:4" ht="15.75" hidden="1" customHeight="1" x14ac:dyDescent="0.25">
      <c r="B118" s="6" t="s">
        <v>92</v>
      </c>
      <c r="C118" s="6" t="s">
        <v>90</v>
      </c>
      <c r="D118" s="185">
        <f t="shared" si="5"/>
        <v>70</v>
      </c>
    </row>
    <row r="119" spans="2:4" ht="15.75" hidden="1" customHeight="1" x14ac:dyDescent="0.25">
      <c r="B119" s="6" t="s">
        <v>93</v>
      </c>
      <c r="C119" s="6" t="s">
        <v>83</v>
      </c>
      <c r="D119" s="184">
        <f t="shared" si="5"/>
        <v>5</v>
      </c>
    </row>
    <row r="120" spans="2:4" ht="15.75" hidden="1" customHeight="1" x14ac:dyDescent="0.25">
      <c r="B120" s="6" t="s">
        <v>94</v>
      </c>
      <c r="C120" s="6" t="s">
        <v>83</v>
      </c>
      <c r="D120" s="178">
        <f t="shared" si="5"/>
        <v>2</v>
      </c>
    </row>
    <row r="121" spans="2:4" ht="15.75" hidden="1" customHeight="1" x14ac:dyDescent="0.25">
      <c r="B121" s="6" t="s">
        <v>95</v>
      </c>
      <c r="C121" s="6" t="s">
        <v>83</v>
      </c>
      <c r="D121" s="178">
        <f t="shared" si="5"/>
        <v>8</v>
      </c>
    </row>
    <row r="122" spans="2:4" ht="15.75" hidden="1" customHeight="1" x14ac:dyDescent="0.25">
      <c r="B122" s="6" t="s">
        <v>96</v>
      </c>
      <c r="C122" s="6" t="s">
        <v>83</v>
      </c>
      <c r="D122" s="178">
        <f t="shared" si="5"/>
        <v>40</v>
      </c>
    </row>
    <row r="123" spans="2:4" ht="15.75" hidden="1" customHeight="1" x14ac:dyDescent="0.25">
      <c r="B123" s="6" t="s">
        <v>97</v>
      </c>
      <c r="C123" s="6" t="s">
        <v>83</v>
      </c>
      <c r="D123" s="178">
        <f t="shared" si="5"/>
        <v>480</v>
      </c>
    </row>
    <row r="124" spans="2:4" ht="15.75" hidden="1" customHeight="1" x14ac:dyDescent="0.25">
      <c r="B124" s="6" t="s">
        <v>98</v>
      </c>
      <c r="C124" s="6" t="s">
        <v>83</v>
      </c>
      <c r="D124" s="178">
        <f t="shared" si="5"/>
        <v>24</v>
      </c>
    </row>
    <row r="125" spans="2:4" ht="15.75" hidden="1" customHeight="1" x14ac:dyDescent="0.25">
      <c r="B125" s="6" t="s">
        <v>99</v>
      </c>
      <c r="C125" s="6" t="s">
        <v>83</v>
      </c>
      <c r="D125" s="178">
        <f t="shared" si="5"/>
        <v>10</v>
      </c>
    </row>
    <row r="126" spans="2:4" ht="15.75" hidden="1" customHeight="1" x14ac:dyDescent="0.25">
      <c r="B126" s="6" t="s">
        <v>100</v>
      </c>
      <c r="C126" s="6" t="s">
        <v>83</v>
      </c>
      <c r="D126" s="178">
        <f t="shared" si="5"/>
        <v>0.2</v>
      </c>
    </row>
    <row r="127" spans="2:4" ht="15.75" hidden="1" customHeight="1" x14ac:dyDescent="0.25">
      <c r="B127" s="6" t="s">
        <v>101</v>
      </c>
      <c r="C127" s="6" t="s">
        <v>83</v>
      </c>
      <c r="D127" s="178">
        <f t="shared" si="5"/>
        <v>1</v>
      </c>
    </row>
    <row r="128" spans="2:4" ht="15.75" hidden="1" customHeight="1" x14ac:dyDescent="0.25">
      <c r="B128" s="6" t="s">
        <v>102</v>
      </c>
      <c r="C128" s="6" t="s">
        <v>83</v>
      </c>
      <c r="D128" s="178">
        <f t="shared" si="5"/>
        <v>0.04</v>
      </c>
    </row>
    <row r="129" spans="2:4" ht="15.75" hidden="1" customHeight="1" x14ac:dyDescent="0.25">
      <c r="B129" s="6" t="s">
        <v>103</v>
      </c>
      <c r="C129" s="6" t="s">
        <v>104</v>
      </c>
      <c r="D129" s="178">
        <f t="shared" si="5"/>
        <v>42.794449999999998</v>
      </c>
    </row>
    <row r="130" spans="2:4" ht="15.75" hidden="1" customHeight="1" x14ac:dyDescent="0.25">
      <c r="B130" s="6" t="s">
        <v>105</v>
      </c>
      <c r="C130" s="6" t="s">
        <v>106</v>
      </c>
      <c r="D130" s="178">
        <f t="shared" si="5"/>
        <v>559.07070499999998</v>
      </c>
    </row>
    <row r="131" spans="2:4" ht="15.75" hidden="1" customHeight="1" x14ac:dyDescent="0.25">
      <c r="B131" s="6" t="s">
        <v>107</v>
      </c>
      <c r="D131" s="178">
        <f t="shared" si="5"/>
        <v>5.2779090000000002</v>
      </c>
    </row>
    <row r="132" spans="2:4" ht="15.75" hidden="1" customHeight="1" x14ac:dyDescent="0.25">
      <c r="B132" s="6" t="s">
        <v>203</v>
      </c>
      <c r="C132" s="6" t="s">
        <v>83</v>
      </c>
      <c r="D132" s="178">
        <f t="shared" si="5"/>
        <v>0</v>
      </c>
    </row>
    <row r="133" spans="2:4" ht="15.75" hidden="1" customHeight="1" x14ac:dyDescent="0.25">
      <c r="B133" s="6" t="s">
        <v>204</v>
      </c>
      <c r="C133" s="6" t="s">
        <v>83</v>
      </c>
      <c r="D133" s="178">
        <f t="shared" si="5"/>
        <v>0</v>
      </c>
    </row>
    <row r="134" spans="2:4" ht="15.75" hidden="1" customHeight="1" x14ac:dyDescent="0.25">
      <c r="B134" s="6" t="s">
        <v>205</v>
      </c>
      <c r="C134" s="6" t="s">
        <v>83</v>
      </c>
      <c r="D134" s="178">
        <f t="shared" ref="D134:D158" si="6">IFERROR(VLOOKUP(B134,raw_2,9,FALSE),0)</f>
        <v>0</v>
      </c>
    </row>
    <row r="135" spans="2:4" ht="15.75" hidden="1" customHeight="1" x14ac:dyDescent="0.25">
      <c r="B135" s="6" t="s">
        <v>191</v>
      </c>
      <c r="C135" s="6" t="s">
        <v>83</v>
      </c>
      <c r="D135" s="178">
        <f t="shared" si="6"/>
        <v>0</v>
      </c>
    </row>
    <row r="136" spans="2:4" ht="15.75" hidden="1" customHeight="1" x14ac:dyDescent="0.25">
      <c r="B136" s="6" t="s">
        <v>192</v>
      </c>
      <c r="C136" s="6" t="s">
        <v>83</v>
      </c>
      <c r="D136" s="178">
        <f t="shared" si="6"/>
        <v>0</v>
      </c>
    </row>
    <row r="137" spans="2:4" ht="15.75" hidden="1" customHeight="1" x14ac:dyDescent="0.25">
      <c r="B137" s="6" t="s">
        <v>193</v>
      </c>
      <c r="C137" s="6" t="s">
        <v>83</v>
      </c>
      <c r="D137" s="178">
        <f t="shared" si="6"/>
        <v>0</v>
      </c>
    </row>
    <row r="138" spans="2:4" ht="15.75" hidden="1" customHeight="1" x14ac:dyDescent="0.25">
      <c r="B138" s="6" t="s">
        <v>194</v>
      </c>
      <c r="C138" s="6" t="s">
        <v>83</v>
      </c>
      <c r="D138" s="178">
        <f t="shared" si="6"/>
        <v>0</v>
      </c>
    </row>
    <row r="139" spans="2:4" ht="15.75" hidden="1" customHeight="1" x14ac:dyDescent="0.25">
      <c r="B139" s="6" t="s">
        <v>195</v>
      </c>
      <c r="C139" s="6" t="s">
        <v>83</v>
      </c>
      <c r="D139" s="178">
        <f t="shared" si="6"/>
        <v>0</v>
      </c>
    </row>
    <row r="140" spans="2:4" ht="15.75" hidden="1" customHeight="1" x14ac:dyDescent="0.25">
      <c r="B140" s="6" t="s">
        <v>196</v>
      </c>
      <c r="C140" s="6" t="s">
        <v>83</v>
      </c>
      <c r="D140" s="178">
        <f t="shared" si="6"/>
        <v>0</v>
      </c>
    </row>
    <row r="141" spans="2:4" ht="15.75" hidden="1" customHeight="1" x14ac:dyDescent="0.25">
      <c r="B141" s="6" t="s">
        <v>197</v>
      </c>
      <c r="C141" s="6" t="s">
        <v>83</v>
      </c>
      <c r="D141" s="178">
        <f t="shared" si="6"/>
        <v>0</v>
      </c>
    </row>
    <row r="142" spans="2:4" ht="15.75" hidden="1" customHeight="1" x14ac:dyDescent="0.25">
      <c r="B142" s="6" t="s">
        <v>198</v>
      </c>
      <c r="C142" s="6" t="s">
        <v>83</v>
      </c>
      <c r="D142" s="178">
        <f t="shared" si="6"/>
        <v>0</v>
      </c>
    </row>
    <row r="143" spans="2:4" ht="15.75" hidden="1" customHeight="1" x14ac:dyDescent="0.25">
      <c r="B143" s="6" t="s">
        <v>199</v>
      </c>
      <c r="C143" s="6" t="s">
        <v>83</v>
      </c>
      <c r="D143" s="178">
        <f t="shared" si="6"/>
        <v>0</v>
      </c>
    </row>
    <row r="144" spans="2:4" ht="15.75" hidden="1" customHeight="1" x14ac:dyDescent="0.25">
      <c r="B144" s="6" t="s">
        <v>190</v>
      </c>
      <c r="C144" s="6" t="s">
        <v>206</v>
      </c>
      <c r="D144" s="178">
        <f t="shared" si="6"/>
        <v>0</v>
      </c>
    </row>
    <row r="145" spans="2:4" ht="15.75" hidden="1" customHeight="1" x14ac:dyDescent="0.25">
      <c r="B145" s="6" t="s">
        <v>207</v>
      </c>
      <c r="C145" s="6" t="s">
        <v>208</v>
      </c>
      <c r="D145" s="178">
        <f t="shared" si="6"/>
        <v>0</v>
      </c>
    </row>
    <row r="146" spans="2:4" ht="15.75" hidden="1" customHeight="1" x14ac:dyDescent="0.25">
      <c r="B146" s="6" t="s">
        <v>209</v>
      </c>
      <c r="C146" s="6" t="s">
        <v>210</v>
      </c>
      <c r="D146" s="178">
        <f t="shared" si="6"/>
        <v>0</v>
      </c>
    </row>
    <row r="147" spans="2:4" ht="15.75" hidden="1" customHeight="1" x14ac:dyDescent="0.25">
      <c r="B147" s="6" t="s">
        <v>211</v>
      </c>
      <c r="C147" s="6" t="s">
        <v>212</v>
      </c>
      <c r="D147" s="178">
        <f t="shared" si="6"/>
        <v>0</v>
      </c>
    </row>
    <row r="148" spans="2:4" ht="15.75" hidden="1" customHeight="1" x14ac:dyDescent="0.25">
      <c r="B148" s="6" t="s">
        <v>213</v>
      </c>
      <c r="C148" s="6" t="s">
        <v>212</v>
      </c>
      <c r="D148" s="178">
        <f t="shared" si="6"/>
        <v>0</v>
      </c>
    </row>
    <row r="149" spans="2:4" ht="15.75" hidden="1" customHeight="1" x14ac:dyDescent="0.25">
      <c r="B149" s="6" t="s">
        <v>214</v>
      </c>
      <c r="C149" s="6" t="s">
        <v>215</v>
      </c>
      <c r="D149" s="178">
        <f t="shared" si="6"/>
        <v>0</v>
      </c>
    </row>
    <row r="150" spans="2:4" ht="15.75" hidden="1" customHeight="1" x14ac:dyDescent="0.25">
      <c r="B150" s="6" t="s">
        <v>216</v>
      </c>
      <c r="C150" s="6" t="s">
        <v>215</v>
      </c>
      <c r="D150" s="178">
        <f t="shared" si="6"/>
        <v>0</v>
      </c>
    </row>
    <row r="151" spans="2:4" ht="15.75" hidden="1" customHeight="1" x14ac:dyDescent="0.25">
      <c r="B151" s="6" t="s">
        <v>217</v>
      </c>
      <c r="C151" s="6" t="s">
        <v>215</v>
      </c>
      <c r="D151" s="178">
        <f t="shared" si="6"/>
        <v>0</v>
      </c>
    </row>
    <row r="152" spans="2:4" ht="15.75" hidden="1" customHeight="1" x14ac:dyDescent="0.25">
      <c r="B152" s="6" t="s">
        <v>218</v>
      </c>
      <c r="C152" s="6" t="s">
        <v>215</v>
      </c>
      <c r="D152" s="178">
        <f t="shared" si="6"/>
        <v>0</v>
      </c>
    </row>
    <row r="153" spans="2:4" ht="15.75" hidden="1" customHeight="1" x14ac:dyDescent="0.25">
      <c r="B153" s="6" t="s">
        <v>219</v>
      </c>
      <c r="C153" s="6" t="s">
        <v>212</v>
      </c>
      <c r="D153" s="178">
        <f t="shared" si="6"/>
        <v>0</v>
      </c>
    </row>
    <row r="154" spans="2:4" ht="15.75" hidden="1" customHeight="1" x14ac:dyDescent="0.25">
      <c r="B154" s="15" t="s">
        <v>220</v>
      </c>
      <c r="C154" s="15" t="s">
        <v>215</v>
      </c>
      <c r="D154" s="179">
        <f t="shared" si="6"/>
        <v>0</v>
      </c>
    </row>
    <row r="155" spans="2:4" ht="15.75" hidden="1" customHeight="1" x14ac:dyDescent="0.25">
      <c r="B155" s="6" t="s">
        <v>221</v>
      </c>
      <c r="C155" s="6" t="s">
        <v>215</v>
      </c>
      <c r="D155" s="178">
        <f t="shared" si="6"/>
        <v>0</v>
      </c>
    </row>
    <row r="156" spans="2:4" ht="15.75" hidden="1" customHeight="1" x14ac:dyDescent="0.25">
      <c r="B156" s="6" t="s">
        <v>222</v>
      </c>
      <c r="C156" s="6" t="s">
        <v>215</v>
      </c>
      <c r="D156" s="178">
        <f t="shared" si="6"/>
        <v>0</v>
      </c>
    </row>
    <row r="157" spans="2:4" ht="15.75" hidden="1" customHeight="1" x14ac:dyDescent="0.25">
      <c r="B157" s="6" t="s">
        <v>223</v>
      </c>
      <c r="C157" s="6" t="s">
        <v>215</v>
      </c>
      <c r="D157" s="178">
        <f t="shared" si="6"/>
        <v>0</v>
      </c>
    </row>
    <row r="158" spans="2:4" ht="15.75" hidden="1" customHeight="1" x14ac:dyDescent="0.25">
      <c r="B158" s="6" t="s">
        <v>224</v>
      </c>
      <c r="C158" s="6" t="s">
        <v>212</v>
      </c>
      <c r="D158" s="178">
        <f t="shared" si="6"/>
        <v>0</v>
      </c>
    </row>
    <row r="159" spans="2:4" ht="15.75" hidden="1" customHeight="1" x14ac:dyDescent="0.25"/>
    <row r="160" spans="2:4" ht="15.75" hidden="1" customHeight="1" x14ac:dyDescent="0.25"/>
    <row r="161" spans="2:4" ht="15.75" hidden="1" customHeight="1" x14ac:dyDescent="0.25"/>
    <row r="162" spans="2:4" ht="15.75" hidden="1" customHeight="1" x14ac:dyDescent="0.25"/>
    <row r="163" spans="2:4" ht="15.75" hidden="1" customHeight="1" x14ac:dyDescent="0.25"/>
    <row r="164" spans="2:4" ht="15.75" hidden="1" customHeight="1" x14ac:dyDescent="0.25"/>
    <row r="165" spans="2:4" ht="16.5" hidden="1" customHeight="1" thickBot="1" x14ac:dyDescent="0.3"/>
    <row r="166" spans="2:4" ht="15.75" hidden="1" customHeight="1" x14ac:dyDescent="0.25"/>
    <row r="167" spans="2:4" ht="15.75" hidden="1" customHeight="1" x14ac:dyDescent="0.25"/>
    <row r="168" spans="2:4" ht="16.5" hidden="1" customHeight="1" thickBot="1" x14ac:dyDescent="0.3">
      <c r="B168" s="16"/>
      <c r="C168" s="16"/>
      <c r="D168" s="17"/>
    </row>
  </sheetData>
  <sheetProtection algorithmName="SHA-512" hashValue="noQ/Z97qS7EPzqhn1kIXzBUHoukRLve2BzNGs2vek/4hGZoCUn2crvJsm1OknTCqRv84uUJxYONNdwopENBSfw==" saltValue="WhqfXjvzFjrikXufbOMTpA==" spinCount="100000" sheet="1" objects="1" scenarios="1"/>
  <sortState xmlns:xlrd2="http://schemas.microsoft.com/office/spreadsheetml/2017/richdata2" ref="A7:E30">
    <sortCondition descending="1" ref="C7:C30"/>
  </sortState>
  <mergeCells count="3">
    <mergeCell ref="A1:C1"/>
    <mergeCell ref="D2:E2"/>
    <mergeCell ref="D3: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66"/>
  <sheetViews>
    <sheetView zoomScale="85" zoomScaleNormal="85" workbookViewId="0">
      <pane xSplit="1" ySplit="4" topLeftCell="B5" activePane="bottomRight" state="frozen"/>
      <selection activeCell="D1" sqref="D1:D1048576"/>
      <selection pane="topRight" activeCell="D1" sqref="D1:D1048576"/>
      <selection pane="bottomLeft" activeCell="D1" sqref="D1:D1048576"/>
      <selection pane="bottomRight" activeCell="D1" sqref="D1:D1048576"/>
    </sheetView>
  </sheetViews>
  <sheetFormatPr defaultRowHeight="15.75" x14ac:dyDescent="0.25"/>
  <cols>
    <col min="1" max="1" width="10.77734375" style="5" customWidth="1"/>
    <col min="2" max="2" width="27.77734375" style="6" customWidth="1"/>
    <col min="3" max="3" width="12.77734375" style="6" customWidth="1"/>
    <col min="4" max="4" width="12.77734375" style="178" customWidth="1"/>
    <col min="5" max="5" width="14.77734375" style="178" customWidth="1"/>
    <col min="7" max="7" width="10.77734375" style="5" customWidth="1"/>
    <col min="8" max="8" width="27.77734375" style="6" customWidth="1"/>
    <col min="9" max="9" width="12.77734375" style="6" customWidth="1"/>
    <col min="10" max="10" width="12.77734375" style="178" customWidth="1"/>
    <col min="11" max="11" width="14.77734375" style="178" customWidth="1"/>
    <col min="13" max="13" width="10.77734375" style="5" customWidth="1"/>
    <col min="14" max="14" width="27.77734375" style="6" customWidth="1"/>
    <col min="15" max="15" width="12.77734375" style="6" customWidth="1"/>
    <col min="16" max="16" width="12.77734375" style="178" customWidth="1"/>
    <col min="17" max="17" width="14.77734375" style="178" customWidth="1"/>
    <col min="19" max="19" width="10.77734375" style="5" customWidth="1"/>
    <col min="20" max="20" width="27.77734375" style="6" customWidth="1"/>
    <col min="21" max="21" width="12.77734375" style="6" customWidth="1"/>
    <col min="22" max="22" width="12.77734375" style="178" customWidth="1"/>
    <col min="23" max="23" width="14.77734375" style="178" customWidth="1"/>
  </cols>
  <sheetData>
    <row r="1" spans="1:23" ht="19.5" thickTop="1" thickBot="1" x14ac:dyDescent="0.3">
      <c r="A1" s="272" t="s">
        <v>263</v>
      </c>
      <c r="B1" s="273"/>
      <c r="C1" s="274"/>
      <c r="D1" s="193">
        <v>44483</v>
      </c>
      <c r="G1" s="272" t="s">
        <v>313</v>
      </c>
      <c r="H1" s="273"/>
      <c r="I1" s="274"/>
      <c r="J1" s="193">
        <v>44453</v>
      </c>
      <c r="M1" s="272" t="s">
        <v>313</v>
      </c>
      <c r="N1" s="273"/>
      <c r="O1" s="274"/>
      <c r="P1" s="193">
        <v>44426</v>
      </c>
      <c r="S1" s="272" t="s">
        <v>313</v>
      </c>
      <c r="T1" s="273"/>
      <c r="U1" s="274"/>
      <c r="V1" s="193">
        <v>44326</v>
      </c>
    </row>
    <row r="2" spans="1:23" ht="17.25" thickTop="1" thickBot="1" x14ac:dyDescent="0.3">
      <c r="A2"/>
      <c r="B2" s="5"/>
      <c r="C2" s="38"/>
      <c r="D2" s="275" t="s">
        <v>228</v>
      </c>
      <c r="E2" s="276"/>
      <c r="G2"/>
      <c r="H2" s="5"/>
      <c r="I2" s="38"/>
      <c r="J2" s="275" t="s">
        <v>296</v>
      </c>
      <c r="K2" s="276"/>
      <c r="M2"/>
      <c r="N2" s="5"/>
      <c r="O2" s="38"/>
      <c r="P2" s="275" t="s">
        <v>296</v>
      </c>
      <c r="Q2" s="276"/>
      <c r="S2"/>
      <c r="T2" s="5"/>
      <c r="U2" s="38"/>
      <c r="V2" s="275" t="s">
        <v>296</v>
      </c>
      <c r="W2" s="276"/>
    </row>
    <row r="3" spans="1:23" ht="16.5" thickBot="1" x14ac:dyDescent="0.3">
      <c r="A3"/>
      <c r="B3" s="7"/>
      <c r="C3" s="38"/>
      <c r="D3" s="277" t="s">
        <v>250</v>
      </c>
      <c r="E3" s="278"/>
      <c r="G3"/>
      <c r="H3" s="7"/>
      <c r="I3" s="38"/>
      <c r="J3" s="277" t="s">
        <v>297</v>
      </c>
      <c r="K3" s="278"/>
      <c r="M3"/>
      <c r="N3" s="7"/>
      <c r="O3" s="38"/>
      <c r="P3" s="277" t="s">
        <v>297</v>
      </c>
      <c r="Q3" s="278"/>
      <c r="S3"/>
      <c r="T3" s="7"/>
      <c r="U3" s="38"/>
      <c r="V3" s="277" t="s">
        <v>297</v>
      </c>
      <c r="W3" s="278"/>
    </row>
    <row r="4" spans="1:23" ht="31.5" x14ac:dyDescent="0.25">
      <c r="A4" s="3" t="s">
        <v>0</v>
      </c>
      <c r="B4" s="3" t="s">
        <v>1</v>
      </c>
      <c r="C4" s="4" t="s">
        <v>2</v>
      </c>
      <c r="D4" s="4" t="s">
        <v>3</v>
      </c>
      <c r="E4" s="4" t="s">
        <v>4</v>
      </c>
      <c r="G4" s="3" t="s">
        <v>0</v>
      </c>
      <c r="H4" s="3" t="s">
        <v>1</v>
      </c>
      <c r="I4" s="4" t="s">
        <v>298</v>
      </c>
      <c r="J4" s="4" t="s">
        <v>299</v>
      </c>
      <c r="K4" s="4" t="s">
        <v>300</v>
      </c>
      <c r="M4" s="3" t="s">
        <v>0</v>
      </c>
      <c r="N4" s="3" t="s">
        <v>1</v>
      </c>
      <c r="O4" s="4" t="s">
        <v>298</v>
      </c>
      <c r="P4" s="4" t="s">
        <v>299</v>
      </c>
      <c r="Q4" s="4" t="s">
        <v>300</v>
      </c>
      <c r="S4" s="3" t="s">
        <v>0</v>
      </c>
      <c r="T4" s="3" t="s">
        <v>1</v>
      </c>
      <c r="U4" s="4" t="s">
        <v>298</v>
      </c>
      <c r="V4" s="4" t="s">
        <v>299</v>
      </c>
      <c r="W4" s="4" t="s">
        <v>300</v>
      </c>
    </row>
    <row r="5" spans="1:23" x14ac:dyDescent="0.25">
      <c r="B5" s="6" t="s">
        <v>5</v>
      </c>
      <c r="C5" s="8"/>
      <c r="D5" s="9"/>
      <c r="E5" s="10"/>
      <c r="H5" s="6" t="s">
        <v>5</v>
      </c>
      <c r="I5" s="8"/>
      <c r="J5" s="9"/>
      <c r="K5" s="10"/>
      <c r="N5" s="6" t="s">
        <v>5</v>
      </c>
      <c r="O5" s="8"/>
      <c r="P5" s="9"/>
      <c r="Q5" s="10"/>
      <c r="T5" s="6" t="s">
        <v>5</v>
      </c>
      <c r="U5" s="8"/>
      <c r="V5" s="9"/>
      <c r="W5" s="10"/>
    </row>
    <row r="6" spans="1:23" x14ac:dyDescent="0.25">
      <c r="A6" s="5">
        <v>14320</v>
      </c>
      <c r="B6" s="6" t="s">
        <v>269</v>
      </c>
      <c r="C6" s="8">
        <f t="shared" ref="C6:C28" si="0">D6*10</f>
        <v>300.08116999999999</v>
      </c>
      <c r="D6" s="9">
        <f t="shared" ref="D6:D28" si="1">IFERROR(VLOOKUP(A6,raw_1,6,FALSE),0)</f>
        <v>30.008116999999999</v>
      </c>
      <c r="E6" s="10">
        <f t="shared" ref="E6:E28" si="2">IF(ISNA(VLOOKUP(B6,RMP_MFH,2,FALSE)),"N/A",VLOOKUP(B6,RMP_MFH,2,FALSE))</f>
        <v>468</v>
      </c>
      <c r="G6" s="5">
        <v>14320</v>
      </c>
      <c r="H6" s="6" t="s">
        <v>269</v>
      </c>
      <c r="I6" s="8">
        <v>425.00475999999998</v>
      </c>
      <c r="J6" s="9">
        <v>42.500475999999999</v>
      </c>
      <c r="K6" s="10">
        <v>418</v>
      </c>
      <c r="M6" s="5">
        <v>14320</v>
      </c>
      <c r="N6" s="6" t="s">
        <v>269</v>
      </c>
      <c r="O6" s="8">
        <v>440.32551000000001</v>
      </c>
      <c r="P6" s="9">
        <v>44.032550999999998</v>
      </c>
      <c r="Q6" s="10">
        <v>404</v>
      </c>
      <c r="S6" s="5">
        <v>14320</v>
      </c>
      <c r="T6" s="6" t="s">
        <v>269</v>
      </c>
      <c r="U6" s="8">
        <v>384.18849</v>
      </c>
      <c r="V6" s="9">
        <v>38.418849000000002</v>
      </c>
      <c r="W6" s="10">
        <v>425</v>
      </c>
    </row>
    <row r="7" spans="1:23" x14ac:dyDescent="0.25">
      <c r="A7" s="5">
        <v>42120</v>
      </c>
      <c r="B7" s="6" t="s">
        <v>272</v>
      </c>
      <c r="C7" s="8">
        <f t="shared" si="0"/>
        <v>228</v>
      </c>
      <c r="D7" s="9">
        <f t="shared" si="1"/>
        <v>22.8</v>
      </c>
      <c r="E7" s="10">
        <f t="shared" si="2"/>
        <v>618</v>
      </c>
      <c r="G7" s="5">
        <v>42120</v>
      </c>
      <c r="H7" s="6" t="s">
        <v>272</v>
      </c>
      <c r="I7" s="8">
        <v>220</v>
      </c>
      <c r="J7" s="9">
        <v>22</v>
      </c>
      <c r="K7" s="10">
        <v>555</v>
      </c>
      <c r="M7" s="5">
        <v>42120</v>
      </c>
      <c r="N7" s="6" t="s">
        <v>272</v>
      </c>
      <c r="O7" s="8">
        <v>230</v>
      </c>
      <c r="P7" s="9">
        <v>23</v>
      </c>
      <c r="Q7" s="10">
        <v>570</v>
      </c>
      <c r="S7" s="5">
        <v>42120</v>
      </c>
      <c r="T7" s="6" t="s">
        <v>272</v>
      </c>
      <c r="U7" s="8">
        <v>209</v>
      </c>
      <c r="V7" s="9">
        <v>20.9</v>
      </c>
      <c r="W7" s="10">
        <v>580</v>
      </c>
    </row>
    <row r="8" spans="1:23" x14ac:dyDescent="0.25">
      <c r="A8" s="5">
        <v>20550</v>
      </c>
      <c r="B8" s="6" t="s">
        <v>109</v>
      </c>
      <c r="C8" s="8">
        <f t="shared" si="0"/>
        <v>150</v>
      </c>
      <c r="D8" s="9">
        <f t="shared" si="1"/>
        <v>15</v>
      </c>
      <c r="E8" s="10">
        <f t="shared" si="2"/>
        <v>450</v>
      </c>
      <c r="G8" s="5">
        <v>20550</v>
      </c>
      <c r="H8" s="6" t="s">
        <v>109</v>
      </c>
      <c r="I8" s="8">
        <v>150</v>
      </c>
      <c r="J8" s="9">
        <v>15</v>
      </c>
      <c r="K8" s="10">
        <v>392</v>
      </c>
      <c r="M8" s="5">
        <v>20550</v>
      </c>
      <c r="N8" s="6" t="s">
        <v>109</v>
      </c>
      <c r="O8" s="8">
        <v>100</v>
      </c>
      <c r="P8" s="9">
        <v>10</v>
      </c>
      <c r="Q8" s="10">
        <v>386</v>
      </c>
      <c r="S8" s="5">
        <v>40004</v>
      </c>
      <c r="T8" s="6" t="s">
        <v>15</v>
      </c>
      <c r="U8" s="8">
        <v>100</v>
      </c>
      <c r="V8" s="9">
        <v>10</v>
      </c>
      <c r="W8" s="10">
        <v>460</v>
      </c>
    </row>
    <row r="9" spans="1:23" x14ac:dyDescent="0.25">
      <c r="A9" s="5">
        <v>11132</v>
      </c>
      <c r="B9" s="6" t="s">
        <v>16</v>
      </c>
      <c r="C9" s="8">
        <f t="shared" si="0"/>
        <v>119</v>
      </c>
      <c r="D9" s="9">
        <f t="shared" si="1"/>
        <v>11.9</v>
      </c>
      <c r="E9" s="10">
        <f t="shared" si="2"/>
        <v>404</v>
      </c>
      <c r="G9" s="5">
        <v>51860</v>
      </c>
      <c r="H9" s="6" t="s">
        <v>115</v>
      </c>
      <c r="I9" s="8">
        <v>75</v>
      </c>
      <c r="J9" s="9">
        <v>7.5</v>
      </c>
      <c r="K9" s="10">
        <v>1230</v>
      </c>
      <c r="M9" s="5">
        <v>51860</v>
      </c>
      <c r="N9" s="6" t="s">
        <v>115</v>
      </c>
      <c r="O9" s="8">
        <v>75</v>
      </c>
      <c r="P9" s="9">
        <v>7.5</v>
      </c>
      <c r="Q9" s="10">
        <v>1230</v>
      </c>
      <c r="S9" s="5">
        <v>20550</v>
      </c>
      <c r="T9" s="6" t="s">
        <v>109</v>
      </c>
      <c r="U9" s="8">
        <v>100</v>
      </c>
      <c r="V9" s="9">
        <v>10</v>
      </c>
      <c r="W9" s="10">
        <v>390</v>
      </c>
    </row>
    <row r="10" spans="1:23" x14ac:dyDescent="0.25">
      <c r="A10" s="5">
        <v>51860</v>
      </c>
      <c r="B10" s="6" t="s">
        <v>115</v>
      </c>
      <c r="C10" s="8">
        <f t="shared" si="0"/>
        <v>75</v>
      </c>
      <c r="D10" s="9">
        <f t="shared" si="1"/>
        <v>7.5</v>
      </c>
      <c r="E10" s="10">
        <f t="shared" si="2"/>
        <v>1230</v>
      </c>
      <c r="G10" s="5">
        <v>10020</v>
      </c>
      <c r="H10" s="6" t="s">
        <v>17</v>
      </c>
      <c r="I10" s="8">
        <v>50</v>
      </c>
      <c r="J10" s="9">
        <v>5</v>
      </c>
      <c r="K10" s="10">
        <v>395</v>
      </c>
      <c r="M10" s="5">
        <v>10020</v>
      </c>
      <c r="N10" s="6" t="s">
        <v>17</v>
      </c>
      <c r="O10" s="8">
        <v>50</v>
      </c>
      <c r="P10" s="9">
        <v>5</v>
      </c>
      <c r="Q10" s="10">
        <v>379</v>
      </c>
      <c r="S10" s="5">
        <v>51860</v>
      </c>
      <c r="T10" s="6" t="s">
        <v>115</v>
      </c>
      <c r="U10" s="8">
        <v>75</v>
      </c>
      <c r="V10" s="9">
        <v>7.5</v>
      </c>
      <c r="W10" s="10">
        <v>1230</v>
      </c>
    </row>
    <row r="11" spans="1:23" x14ac:dyDescent="0.25">
      <c r="A11" s="5">
        <v>10020</v>
      </c>
      <c r="B11" s="6" t="s">
        <v>17</v>
      </c>
      <c r="C11" s="8">
        <f t="shared" si="0"/>
        <v>50</v>
      </c>
      <c r="D11" s="9">
        <f t="shared" si="1"/>
        <v>5</v>
      </c>
      <c r="E11" s="10">
        <f t="shared" si="2"/>
        <v>430</v>
      </c>
      <c r="G11" s="5">
        <v>42205</v>
      </c>
      <c r="H11" s="6" t="s">
        <v>114</v>
      </c>
      <c r="I11" s="8">
        <v>25</v>
      </c>
      <c r="J11" s="9">
        <v>2.5</v>
      </c>
      <c r="K11" s="10">
        <v>1950</v>
      </c>
      <c r="M11" s="5">
        <v>42205</v>
      </c>
      <c r="N11" s="6" t="s">
        <v>114</v>
      </c>
      <c r="O11" s="8">
        <v>25</v>
      </c>
      <c r="P11" s="9">
        <v>2.5</v>
      </c>
      <c r="Q11" s="10">
        <v>1950</v>
      </c>
      <c r="S11" s="5">
        <v>10020</v>
      </c>
      <c r="T11" s="6" t="s">
        <v>17</v>
      </c>
      <c r="U11" s="8">
        <v>50</v>
      </c>
      <c r="V11" s="9">
        <v>5</v>
      </c>
      <c r="W11" s="10">
        <v>415</v>
      </c>
    </row>
    <row r="12" spans="1:23" x14ac:dyDescent="0.25">
      <c r="A12" s="5">
        <v>42205</v>
      </c>
      <c r="B12" s="6" t="s">
        <v>114</v>
      </c>
      <c r="C12" s="8">
        <f t="shared" si="0"/>
        <v>25</v>
      </c>
      <c r="D12" s="9">
        <f t="shared" si="1"/>
        <v>2.5</v>
      </c>
      <c r="E12" s="10">
        <f t="shared" si="2"/>
        <v>1950</v>
      </c>
      <c r="G12" s="5">
        <v>91000</v>
      </c>
      <c r="H12" s="6" t="s">
        <v>306</v>
      </c>
      <c r="I12" s="8">
        <v>16.245240000000003</v>
      </c>
      <c r="J12" s="9">
        <v>1.6245240000000001</v>
      </c>
      <c r="K12" s="10">
        <v>2200</v>
      </c>
      <c r="M12" s="5">
        <v>40004</v>
      </c>
      <c r="N12" s="6" t="s">
        <v>15</v>
      </c>
      <c r="O12" s="8">
        <v>24.40972</v>
      </c>
      <c r="P12" s="9">
        <v>2.4409719999999999</v>
      </c>
      <c r="Q12" s="10">
        <v>490</v>
      </c>
      <c r="S12" s="5">
        <v>42205</v>
      </c>
      <c r="T12" s="6" t="s">
        <v>114</v>
      </c>
      <c r="U12" s="8">
        <v>25</v>
      </c>
      <c r="V12" s="9">
        <v>2.5</v>
      </c>
      <c r="W12" s="10">
        <v>1950</v>
      </c>
    </row>
    <row r="13" spans="1:23" x14ac:dyDescent="0.25">
      <c r="A13" s="5">
        <v>91000</v>
      </c>
      <c r="B13" s="6" t="s">
        <v>306</v>
      </c>
      <c r="C13" s="8">
        <f t="shared" si="0"/>
        <v>13.66892</v>
      </c>
      <c r="D13" s="9">
        <f t="shared" si="1"/>
        <v>1.366892</v>
      </c>
      <c r="E13" s="10">
        <f t="shared" si="2"/>
        <v>2650</v>
      </c>
      <c r="G13" s="5">
        <v>60080</v>
      </c>
      <c r="H13" s="6" t="s">
        <v>273</v>
      </c>
      <c r="I13" s="8">
        <v>9</v>
      </c>
      <c r="J13" s="9">
        <v>0.9</v>
      </c>
      <c r="K13" s="10">
        <v>132</v>
      </c>
      <c r="M13" s="5">
        <v>91000</v>
      </c>
      <c r="N13" s="6" t="s">
        <v>306</v>
      </c>
      <c r="O13" s="8">
        <v>16.54102</v>
      </c>
      <c r="P13" s="9">
        <v>1.654102</v>
      </c>
      <c r="Q13" s="10">
        <v>2050</v>
      </c>
      <c r="S13" s="5">
        <v>91000</v>
      </c>
      <c r="T13" s="6" t="s">
        <v>306</v>
      </c>
      <c r="U13" s="8">
        <v>18.29175</v>
      </c>
      <c r="V13" s="9">
        <v>1.829175</v>
      </c>
      <c r="W13" s="10">
        <v>2650</v>
      </c>
    </row>
    <row r="14" spans="1:23" x14ac:dyDescent="0.25">
      <c r="A14" s="5">
        <v>60080</v>
      </c>
      <c r="B14" s="6" t="s">
        <v>273</v>
      </c>
      <c r="C14" s="8">
        <f t="shared" si="0"/>
        <v>9</v>
      </c>
      <c r="D14" s="9">
        <f t="shared" si="1"/>
        <v>0.9</v>
      </c>
      <c r="E14" s="10">
        <f t="shared" si="2"/>
        <v>132</v>
      </c>
      <c r="G14" s="5">
        <v>66069</v>
      </c>
      <c r="H14" s="6" t="s">
        <v>277</v>
      </c>
      <c r="I14" s="8">
        <v>6.6000000000000005</v>
      </c>
      <c r="J14" s="9">
        <v>0.66</v>
      </c>
      <c r="K14" s="10">
        <v>2195</v>
      </c>
      <c r="M14" s="5">
        <v>60080</v>
      </c>
      <c r="N14" s="6" t="s">
        <v>273</v>
      </c>
      <c r="O14" s="8">
        <v>8.5</v>
      </c>
      <c r="P14" s="9">
        <v>0.85</v>
      </c>
      <c r="Q14" s="10">
        <v>110</v>
      </c>
      <c r="S14" s="5">
        <v>60080</v>
      </c>
      <c r="T14" s="6" t="s">
        <v>273</v>
      </c>
      <c r="U14" s="8">
        <v>8.5</v>
      </c>
      <c r="V14" s="9">
        <v>0.85</v>
      </c>
      <c r="W14" s="10">
        <v>132</v>
      </c>
    </row>
    <row r="15" spans="1:23" x14ac:dyDescent="0.25">
      <c r="A15" s="5">
        <v>60220</v>
      </c>
      <c r="B15" s="6" t="s">
        <v>274</v>
      </c>
      <c r="C15" s="8">
        <f t="shared" si="0"/>
        <v>6.5</v>
      </c>
      <c r="D15" s="9">
        <f t="shared" si="1"/>
        <v>0.65</v>
      </c>
      <c r="E15" s="10">
        <f t="shared" si="2"/>
        <v>970</v>
      </c>
      <c r="G15" s="5">
        <v>60220</v>
      </c>
      <c r="H15" s="6" t="s">
        <v>274</v>
      </c>
      <c r="I15" s="8">
        <v>6</v>
      </c>
      <c r="J15" s="9">
        <v>0.6</v>
      </c>
      <c r="K15" s="10">
        <v>970</v>
      </c>
      <c r="M15" s="5">
        <v>60220</v>
      </c>
      <c r="N15" s="6" t="s">
        <v>274</v>
      </c>
      <c r="O15" s="8">
        <v>6.5</v>
      </c>
      <c r="P15" s="9">
        <v>0.65</v>
      </c>
      <c r="Q15" s="10">
        <v>950</v>
      </c>
      <c r="S15" s="5">
        <v>60220</v>
      </c>
      <c r="T15" s="6" t="s">
        <v>274</v>
      </c>
      <c r="U15" s="8">
        <v>6.5</v>
      </c>
      <c r="V15" s="9">
        <v>0.65</v>
      </c>
      <c r="W15" s="10">
        <v>970</v>
      </c>
    </row>
    <row r="16" spans="1:23" x14ac:dyDescent="0.25">
      <c r="A16" s="5">
        <v>66069</v>
      </c>
      <c r="B16" s="6" t="s">
        <v>277</v>
      </c>
      <c r="C16" s="8">
        <f t="shared" si="0"/>
        <v>6.4999200000000004</v>
      </c>
      <c r="D16" s="9">
        <f t="shared" si="1"/>
        <v>0.64999200000000001</v>
      </c>
      <c r="E16" s="10">
        <f t="shared" si="2"/>
        <v>2610</v>
      </c>
      <c r="G16" s="5">
        <v>60700</v>
      </c>
      <c r="H16" s="6" t="s">
        <v>275</v>
      </c>
      <c r="I16" s="8">
        <v>4.5</v>
      </c>
      <c r="J16" s="9">
        <v>0.45</v>
      </c>
      <c r="K16" s="10">
        <v>115</v>
      </c>
      <c r="M16" s="5">
        <v>66069</v>
      </c>
      <c r="N16" s="6" t="s">
        <v>277</v>
      </c>
      <c r="O16" s="8">
        <v>6.0237499999999997</v>
      </c>
      <c r="P16" s="9">
        <v>0.60237499999999999</v>
      </c>
      <c r="Q16" s="10">
        <v>2050</v>
      </c>
      <c r="S16" s="5">
        <v>66069</v>
      </c>
      <c r="T16" s="6" t="s">
        <v>277</v>
      </c>
      <c r="U16" s="8">
        <v>5.5197599999999998</v>
      </c>
      <c r="V16" s="9">
        <v>0.55197600000000002</v>
      </c>
      <c r="W16" s="10">
        <v>2100</v>
      </c>
    </row>
    <row r="17" spans="1:23" x14ac:dyDescent="0.25">
      <c r="A17" s="5">
        <v>60700</v>
      </c>
      <c r="B17" s="6" t="s">
        <v>275</v>
      </c>
      <c r="C17" s="8">
        <f t="shared" si="0"/>
        <v>4.5</v>
      </c>
      <c r="D17" s="9">
        <f t="shared" si="1"/>
        <v>0.45</v>
      </c>
      <c r="E17" s="10">
        <f t="shared" si="2"/>
        <v>115</v>
      </c>
      <c r="G17" s="5">
        <v>62325</v>
      </c>
      <c r="H17" s="6" t="s">
        <v>117</v>
      </c>
      <c r="I17" s="8">
        <v>3</v>
      </c>
      <c r="J17" s="9">
        <v>0.3</v>
      </c>
      <c r="K17" s="10">
        <v>3270</v>
      </c>
      <c r="M17" s="5">
        <v>60700</v>
      </c>
      <c r="N17" s="6" t="s">
        <v>275</v>
      </c>
      <c r="O17" s="8">
        <v>5</v>
      </c>
      <c r="P17" s="9">
        <v>0.5</v>
      </c>
      <c r="Q17" s="10">
        <v>100</v>
      </c>
      <c r="S17" s="5">
        <v>60700</v>
      </c>
      <c r="T17" s="6" t="s">
        <v>275</v>
      </c>
      <c r="U17" s="8">
        <v>5</v>
      </c>
      <c r="V17" s="9">
        <v>0.5</v>
      </c>
      <c r="W17" s="10">
        <v>115</v>
      </c>
    </row>
    <row r="18" spans="1:23" x14ac:dyDescent="0.25">
      <c r="A18" s="5">
        <v>62325</v>
      </c>
      <c r="B18" s="6" t="s">
        <v>117</v>
      </c>
      <c r="C18" s="8">
        <f t="shared" si="0"/>
        <v>3</v>
      </c>
      <c r="D18" s="9">
        <f t="shared" si="1"/>
        <v>0.3</v>
      </c>
      <c r="E18" s="10">
        <f t="shared" si="2"/>
        <v>3270</v>
      </c>
      <c r="G18" s="5">
        <v>94732</v>
      </c>
      <c r="H18" s="6" t="s">
        <v>280</v>
      </c>
      <c r="I18" s="8">
        <v>2.5</v>
      </c>
      <c r="J18" s="9">
        <v>0.25</v>
      </c>
      <c r="K18" s="10">
        <v>3300</v>
      </c>
      <c r="M18" s="5">
        <v>62325</v>
      </c>
      <c r="N18" s="6" t="s">
        <v>117</v>
      </c>
      <c r="O18" s="8">
        <v>3</v>
      </c>
      <c r="P18" s="9">
        <v>0.3</v>
      </c>
      <c r="Q18" s="10">
        <v>2995</v>
      </c>
      <c r="S18" s="5">
        <v>62325</v>
      </c>
      <c r="T18" s="6" t="s">
        <v>117</v>
      </c>
      <c r="U18" s="8">
        <v>3</v>
      </c>
      <c r="V18" s="9">
        <v>0.3</v>
      </c>
      <c r="W18" s="10">
        <v>2995</v>
      </c>
    </row>
    <row r="19" spans="1:23" x14ac:dyDescent="0.25">
      <c r="A19" s="5">
        <v>94732</v>
      </c>
      <c r="B19" s="6" t="s">
        <v>280</v>
      </c>
      <c r="C19" s="8">
        <f t="shared" si="0"/>
        <v>2.5</v>
      </c>
      <c r="D19" s="9">
        <f t="shared" si="1"/>
        <v>0.25</v>
      </c>
      <c r="E19" s="10">
        <f t="shared" si="2"/>
        <v>3300</v>
      </c>
      <c r="G19" s="5">
        <v>922558</v>
      </c>
      <c r="H19" s="6" t="s">
        <v>283</v>
      </c>
      <c r="I19" s="8">
        <v>2</v>
      </c>
      <c r="J19" s="9">
        <v>0.2</v>
      </c>
      <c r="K19" s="10">
        <v>8350</v>
      </c>
      <c r="M19" s="5">
        <v>94732</v>
      </c>
      <c r="N19" s="6" t="s">
        <v>280</v>
      </c>
      <c r="O19" s="8">
        <v>2.5</v>
      </c>
      <c r="P19" s="9">
        <v>0.25</v>
      </c>
      <c r="Q19" s="10">
        <v>3300</v>
      </c>
      <c r="S19" s="5">
        <v>94732</v>
      </c>
      <c r="T19" s="6" t="s">
        <v>280</v>
      </c>
      <c r="U19" s="8">
        <v>2.5</v>
      </c>
      <c r="V19" s="9">
        <v>0.25</v>
      </c>
      <c r="W19" s="10">
        <v>3300</v>
      </c>
    </row>
    <row r="20" spans="1:23" x14ac:dyDescent="0.25">
      <c r="A20" s="5">
        <v>922558</v>
      </c>
      <c r="B20" s="6" t="s">
        <v>283</v>
      </c>
      <c r="C20" s="8">
        <f t="shared" si="0"/>
        <v>2</v>
      </c>
      <c r="D20" s="9">
        <f t="shared" si="1"/>
        <v>0.2</v>
      </c>
      <c r="E20" s="10">
        <f t="shared" si="2"/>
        <v>8350</v>
      </c>
      <c r="G20" s="5">
        <v>66300</v>
      </c>
      <c r="H20" s="6" t="s">
        <v>11</v>
      </c>
      <c r="I20" s="8">
        <v>1.6500000000000001</v>
      </c>
      <c r="J20" s="9">
        <v>0.16500000000000001</v>
      </c>
      <c r="K20" s="10">
        <v>13750</v>
      </c>
      <c r="M20" s="5">
        <v>922558</v>
      </c>
      <c r="N20" s="6" t="s">
        <v>283</v>
      </c>
      <c r="O20" s="8">
        <v>2</v>
      </c>
      <c r="P20" s="9">
        <v>0.2</v>
      </c>
      <c r="Q20" s="10">
        <v>8350</v>
      </c>
      <c r="S20" s="5">
        <v>922558</v>
      </c>
      <c r="T20" s="6" t="s">
        <v>283</v>
      </c>
      <c r="U20" s="8">
        <v>2</v>
      </c>
      <c r="V20" s="9">
        <v>0.2</v>
      </c>
      <c r="W20" s="10">
        <v>8350</v>
      </c>
    </row>
    <row r="21" spans="1:23" x14ac:dyDescent="0.25">
      <c r="A21" s="5">
        <v>66300</v>
      </c>
      <c r="B21" s="6" t="s">
        <v>11</v>
      </c>
      <c r="C21" s="8">
        <f t="shared" si="0"/>
        <v>1.6</v>
      </c>
      <c r="D21" s="9">
        <f t="shared" si="1"/>
        <v>0.16</v>
      </c>
      <c r="E21" s="10">
        <f t="shared" si="2"/>
        <v>4000</v>
      </c>
      <c r="G21" s="5">
        <v>66100</v>
      </c>
      <c r="H21" s="6" t="s">
        <v>13</v>
      </c>
      <c r="I21" s="8">
        <v>1.2</v>
      </c>
      <c r="J21" s="9">
        <v>0.12</v>
      </c>
      <c r="K21" s="10">
        <v>4200</v>
      </c>
      <c r="M21" s="5">
        <v>66300</v>
      </c>
      <c r="N21" s="6" t="s">
        <v>11</v>
      </c>
      <c r="O21" s="8">
        <v>1.6</v>
      </c>
      <c r="P21" s="9">
        <v>0.16</v>
      </c>
      <c r="Q21" s="10">
        <v>3300</v>
      </c>
      <c r="S21" s="5">
        <v>66300</v>
      </c>
      <c r="T21" s="6" t="s">
        <v>11</v>
      </c>
      <c r="U21" s="8">
        <v>1.6</v>
      </c>
      <c r="V21" s="9">
        <v>0.16</v>
      </c>
      <c r="W21" s="10">
        <v>3200</v>
      </c>
    </row>
    <row r="22" spans="1:23" x14ac:dyDescent="0.25">
      <c r="A22" s="5">
        <v>66100</v>
      </c>
      <c r="B22" s="6" t="s">
        <v>13</v>
      </c>
      <c r="C22" s="8">
        <f t="shared" si="0"/>
        <v>1.3</v>
      </c>
      <c r="D22" s="9">
        <f t="shared" si="1"/>
        <v>0.13</v>
      </c>
      <c r="E22" s="10">
        <f t="shared" si="2"/>
        <v>4495</v>
      </c>
      <c r="G22" s="5">
        <v>64680</v>
      </c>
      <c r="H22" s="6" t="s">
        <v>12</v>
      </c>
      <c r="I22" s="8">
        <v>0.8</v>
      </c>
      <c r="J22" s="9">
        <v>0.08</v>
      </c>
      <c r="K22" s="10">
        <v>2305</v>
      </c>
      <c r="M22" s="5">
        <v>66100</v>
      </c>
      <c r="N22" s="6" t="s">
        <v>13</v>
      </c>
      <c r="O22" s="8">
        <v>1.35</v>
      </c>
      <c r="P22" s="9">
        <v>0.13500000000000001</v>
      </c>
      <c r="Q22" s="10">
        <v>4350</v>
      </c>
      <c r="S22" s="5">
        <v>66100</v>
      </c>
      <c r="T22" s="6" t="s">
        <v>13</v>
      </c>
      <c r="U22" s="8">
        <v>1.55</v>
      </c>
      <c r="V22" s="9">
        <v>0.155</v>
      </c>
      <c r="W22" s="10">
        <v>4525</v>
      </c>
    </row>
    <row r="23" spans="1:23" x14ac:dyDescent="0.25">
      <c r="A23" s="5">
        <v>64680</v>
      </c>
      <c r="B23" s="6" t="s">
        <v>12</v>
      </c>
      <c r="C23" s="8">
        <f t="shared" si="0"/>
        <v>0.8</v>
      </c>
      <c r="D23" s="9">
        <f t="shared" si="1"/>
        <v>0.08</v>
      </c>
      <c r="E23" s="10">
        <f t="shared" si="2"/>
        <v>3850</v>
      </c>
      <c r="G23" s="5">
        <v>94910</v>
      </c>
      <c r="H23" s="6" t="s">
        <v>258</v>
      </c>
      <c r="I23" s="8">
        <v>0.5</v>
      </c>
      <c r="J23" s="9">
        <v>0.05</v>
      </c>
      <c r="K23" s="10">
        <v>10480</v>
      </c>
      <c r="M23" s="5">
        <v>64680</v>
      </c>
      <c r="N23" s="6" t="s">
        <v>12</v>
      </c>
      <c r="O23" s="8">
        <v>0.8</v>
      </c>
      <c r="P23" s="9">
        <v>0.08</v>
      </c>
      <c r="Q23" s="10">
        <v>2180</v>
      </c>
      <c r="S23" s="5">
        <v>64680</v>
      </c>
      <c r="T23" s="6" t="s">
        <v>12</v>
      </c>
      <c r="U23" s="8">
        <v>0.8</v>
      </c>
      <c r="V23" s="9">
        <v>0.08</v>
      </c>
      <c r="W23" s="10">
        <v>2180</v>
      </c>
    </row>
    <row r="24" spans="1:23" x14ac:dyDescent="0.25">
      <c r="A24" s="5">
        <v>94910</v>
      </c>
      <c r="B24" s="6" t="s">
        <v>258</v>
      </c>
      <c r="C24" s="8">
        <f t="shared" si="0"/>
        <v>0.5</v>
      </c>
      <c r="D24" s="9">
        <f t="shared" si="1"/>
        <v>0.05</v>
      </c>
      <c r="E24" s="10">
        <f t="shared" si="2"/>
        <v>10480</v>
      </c>
      <c r="G24" s="5">
        <v>61800</v>
      </c>
      <c r="H24" s="6" t="s">
        <v>116</v>
      </c>
      <c r="I24" s="8">
        <v>0.4</v>
      </c>
      <c r="J24" s="9">
        <v>0.04</v>
      </c>
      <c r="K24" s="10">
        <v>4225</v>
      </c>
      <c r="M24" s="5">
        <v>94910</v>
      </c>
      <c r="N24" s="6" t="s">
        <v>258</v>
      </c>
      <c r="O24" s="8">
        <v>0.5</v>
      </c>
      <c r="P24" s="9">
        <v>0.05</v>
      </c>
      <c r="Q24" s="10">
        <v>10480</v>
      </c>
      <c r="S24" s="5">
        <v>94910</v>
      </c>
      <c r="T24" s="6" t="s">
        <v>258</v>
      </c>
      <c r="U24" s="8">
        <v>0.5</v>
      </c>
      <c r="V24" s="9">
        <v>0.05</v>
      </c>
      <c r="W24" s="10">
        <v>10480</v>
      </c>
    </row>
    <row r="25" spans="1:23" x14ac:dyDescent="0.25">
      <c r="A25" s="5">
        <v>61800</v>
      </c>
      <c r="B25" s="6" t="s">
        <v>116</v>
      </c>
      <c r="C25" s="8">
        <f t="shared" si="0"/>
        <v>0.4</v>
      </c>
      <c r="D25" s="9">
        <f t="shared" si="1"/>
        <v>0.04</v>
      </c>
      <c r="E25" s="10">
        <f t="shared" si="2"/>
        <v>4225</v>
      </c>
      <c r="G25" s="5">
        <v>94179</v>
      </c>
      <c r="H25" s="6" t="s">
        <v>279</v>
      </c>
      <c r="I25" s="8">
        <v>0.3</v>
      </c>
      <c r="J25" s="9">
        <v>0.03</v>
      </c>
      <c r="K25" s="10">
        <v>3000</v>
      </c>
      <c r="M25" s="5">
        <v>61800</v>
      </c>
      <c r="N25" s="6" t="s">
        <v>116</v>
      </c>
      <c r="O25" s="8">
        <v>0.4</v>
      </c>
      <c r="P25" s="9">
        <v>0.04</v>
      </c>
      <c r="Q25" s="10">
        <v>4180</v>
      </c>
      <c r="S25" s="5">
        <v>61800</v>
      </c>
      <c r="T25" s="6" t="s">
        <v>116</v>
      </c>
      <c r="U25" s="8">
        <v>0.4</v>
      </c>
      <c r="V25" s="9">
        <v>0.04</v>
      </c>
      <c r="W25" s="10">
        <v>4180</v>
      </c>
    </row>
    <row r="26" spans="1:23" x14ac:dyDescent="0.25">
      <c r="A26" s="5">
        <v>66200</v>
      </c>
      <c r="B26" s="6" t="s">
        <v>14</v>
      </c>
      <c r="C26" s="8">
        <f t="shared" si="0"/>
        <v>0.35000000000000003</v>
      </c>
      <c r="D26" s="9">
        <f t="shared" si="1"/>
        <v>3.5000000000000003E-2</v>
      </c>
      <c r="E26" s="10">
        <f t="shared" si="2"/>
        <v>13250</v>
      </c>
      <c r="G26" s="5">
        <v>66200</v>
      </c>
      <c r="H26" s="6" t="s">
        <v>14</v>
      </c>
      <c r="I26" s="8">
        <v>0.3</v>
      </c>
      <c r="J26" s="9">
        <v>0.03</v>
      </c>
      <c r="K26" s="10">
        <v>3600</v>
      </c>
      <c r="M26" s="5">
        <v>94179</v>
      </c>
      <c r="N26" s="6" t="s">
        <v>279</v>
      </c>
      <c r="O26" s="8">
        <v>0.3</v>
      </c>
      <c r="P26" s="9">
        <v>0.03</v>
      </c>
      <c r="Q26" s="10">
        <v>3000</v>
      </c>
      <c r="S26" s="5">
        <v>66200</v>
      </c>
      <c r="T26" s="6" t="s">
        <v>14</v>
      </c>
      <c r="U26" s="8">
        <v>0.35000000000000003</v>
      </c>
      <c r="V26" s="9">
        <v>3.5000000000000003E-2</v>
      </c>
      <c r="W26" s="10">
        <v>12750</v>
      </c>
    </row>
    <row r="27" spans="1:23" x14ac:dyDescent="0.25">
      <c r="A27" s="5">
        <v>94179</v>
      </c>
      <c r="B27" s="6" t="s">
        <v>279</v>
      </c>
      <c r="C27" s="8">
        <f t="shared" si="0"/>
        <v>0.3</v>
      </c>
      <c r="D27" s="9">
        <f t="shared" si="1"/>
        <v>0.03</v>
      </c>
      <c r="E27" s="10">
        <f t="shared" si="2"/>
        <v>3000</v>
      </c>
      <c r="G27" s="5">
        <v>40004</v>
      </c>
      <c r="H27" s="6" t="s">
        <v>15</v>
      </c>
      <c r="I27" s="8">
        <v>0</v>
      </c>
      <c r="J27" s="9">
        <v>0</v>
      </c>
      <c r="K27" s="10">
        <v>470</v>
      </c>
      <c r="M27" s="5">
        <v>66200</v>
      </c>
      <c r="N27" s="6" t="s">
        <v>14</v>
      </c>
      <c r="O27" s="8">
        <v>0.25</v>
      </c>
      <c r="P27" s="9">
        <v>2.5000000000000001E-2</v>
      </c>
      <c r="Q27" s="10">
        <v>13750</v>
      </c>
      <c r="S27" s="5">
        <v>94179</v>
      </c>
      <c r="T27" s="6" t="s">
        <v>279</v>
      </c>
      <c r="U27" s="8">
        <v>0.3</v>
      </c>
      <c r="V27" s="9">
        <v>0.03</v>
      </c>
      <c r="W27" s="10">
        <v>3000</v>
      </c>
    </row>
    <row r="28" spans="1:23" x14ac:dyDescent="0.25">
      <c r="A28" s="5">
        <v>40004</v>
      </c>
      <c r="B28" s="6" t="s">
        <v>15</v>
      </c>
      <c r="C28" s="8">
        <f t="shared" si="0"/>
        <v>0</v>
      </c>
      <c r="D28" s="9">
        <f t="shared" si="1"/>
        <v>0</v>
      </c>
      <c r="E28" s="10">
        <f t="shared" si="2"/>
        <v>556</v>
      </c>
      <c r="I28" s="8"/>
      <c r="J28" s="9"/>
      <c r="K28" s="10"/>
      <c r="O28" s="8"/>
      <c r="P28" s="9"/>
      <c r="Q28" s="10"/>
      <c r="U28" s="8"/>
      <c r="V28" s="9"/>
      <c r="W28" s="10"/>
    </row>
    <row r="29" spans="1:23" x14ac:dyDescent="0.25">
      <c r="C29" s="8"/>
      <c r="D29" s="9"/>
      <c r="E29" s="10"/>
      <c r="I29" s="8"/>
      <c r="J29" s="9"/>
      <c r="K29" s="10"/>
      <c r="O29" s="8"/>
      <c r="P29" s="9"/>
      <c r="Q29" s="10"/>
      <c r="U29" s="8"/>
      <c r="V29" s="9"/>
      <c r="W29" s="10"/>
    </row>
    <row r="30" spans="1:23" x14ac:dyDescent="0.25">
      <c r="A30"/>
      <c r="B30"/>
      <c r="C30" s="8"/>
      <c r="D30" s="9"/>
      <c r="E30" s="10"/>
      <c r="G30"/>
      <c r="H30"/>
      <c r="I30" s="8"/>
      <c r="J30" s="9"/>
      <c r="K30" s="10"/>
      <c r="M30"/>
      <c r="N30"/>
      <c r="O30" s="8"/>
      <c r="P30" s="9"/>
      <c r="Q30" s="10"/>
      <c r="S30"/>
      <c r="T30"/>
      <c r="U30" s="8"/>
      <c r="V30" s="9"/>
      <c r="W30" s="10"/>
    </row>
    <row r="31" spans="1:23" ht="16.5" thickBot="1" x14ac:dyDescent="0.3">
      <c r="B31" s="11" t="s">
        <v>6</v>
      </c>
      <c r="C31" s="12">
        <f>SUM(C6:C30)</f>
        <v>1000.0000099999997</v>
      </c>
      <c r="D31" s="13">
        <f>SUM(D6:D30)</f>
        <v>100.000001</v>
      </c>
      <c r="E31" s="37" cm="1">
        <f t="array" ref="E31">SUMPRODUCT(C6:C30,E6:E30/1000)</f>
        <v>683.16691676000005</v>
      </c>
      <c r="H31" s="11" t="s">
        <v>6</v>
      </c>
      <c r="I31" s="12">
        <v>999.99999999999989</v>
      </c>
      <c r="J31" s="13">
        <v>100</v>
      </c>
      <c r="K31" s="37">
        <v>650.2955176800001</v>
      </c>
      <c r="N31" s="11" t="s">
        <v>6</v>
      </c>
      <c r="O31" s="12">
        <v>999.99999999999989</v>
      </c>
      <c r="P31" s="13">
        <v>100</v>
      </c>
      <c r="Q31" s="37">
        <v>631.45104733999995</v>
      </c>
      <c r="T31" s="11" t="s">
        <v>6</v>
      </c>
      <c r="U31" s="12">
        <v>999.99999999999989</v>
      </c>
      <c r="V31" s="13">
        <v>100</v>
      </c>
      <c r="W31" s="37">
        <v>659.40399175000005</v>
      </c>
    </row>
    <row r="32" spans="1:23" x14ac:dyDescent="0.25">
      <c r="C32"/>
      <c r="D32"/>
      <c r="E32" s="201">
        <f>E31-K31</f>
        <v>32.871399079999946</v>
      </c>
      <c r="I32"/>
      <c r="J32"/>
      <c r="K32" s="201">
        <v>18.844470340000157</v>
      </c>
      <c r="O32"/>
      <c r="P32"/>
      <c r="Q32" s="201">
        <v>-27.9529444100001</v>
      </c>
      <c r="U32"/>
      <c r="V32"/>
      <c r="W32" s="201"/>
    </row>
    <row r="33" spans="2:23" ht="16.5" thickBot="1" x14ac:dyDescent="0.3">
      <c r="C33"/>
      <c r="D33"/>
      <c r="E33"/>
      <c r="I33"/>
      <c r="J33"/>
      <c r="K33"/>
      <c r="O33"/>
      <c r="P33"/>
      <c r="Q33"/>
      <c r="U33"/>
      <c r="V33"/>
      <c r="W33"/>
    </row>
    <row r="34" spans="2:23" x14ac:dyDescent="0.25">
      <c r="B34" s="14" t="s">
        <v>7</v>
      </c>
      <c r="C34" s="14" t="s">
        <v>8</v>
      </c>
      <c r="D34" s="14" t="s">
        <v>9</v>
      </c>
      <c r="E34"/>
      <c r="H34" s="14" t="s">
        <v>7</v>
      </c>
      <c r="I34" s="14" t="s">
        <v>8</v>
      </c>
      <c r="J34" s="14" t="s">
        <v>9</v>
      </c>
      <c r="K34"/>
      <c r="N34" s="14" t="s">
        <v>7</v>
      </c>
      <c r="O34" s="14" t="s">
        <v>8</v>
      </c>
      <c r="P34" s="14" t="s">
        <v>9</v>
      </c>
      <c r="Q34"/>
      <c r="T34" s="14" t="s">
        <v>7</v>
      </c>
      <c r="U34" s="14" t="s">
        <v>8</v>
      </c>
      <c r="V34" s="14" t="s">
        <v>9</v>
      </c>
      <c r="W34"/>
    </row>
    <row r="35" spans="2:23" x14ac:dyDescent="0.25">
      <c r="B35" s="6" t="s">
        <v>18</v>
      </c>
      <c r="C35" s="6" t="s">
        <v>19</v>
      </c>
      <c r="D35" s="178">
        <f t="shared" ref="D35:D66" si="3">IFERROR(VLOOKUP(B35,raw_2,5,FALSE),0)</f>
        <v>100</v>
      </c>
      <c r="H35" s="6" t="s">
        <v>18</v>
      </c>
      <c r="I35" s="6" t="s">
        <v>19</v>
      </c>
      <c r="J35" s="178">
        <v>100</v>
      </c>
      <c r="N35" s="6" t="s">
        <v>18</v>
      </c>
      <c r="O35" s="6" t="s">
        <v>19</v>
      </c>
      <c r="P35" s="178">
        <v>100</v>
      </c>
      <c r="T35" s="6" t="s">
        <v>18</v>
      </c>
      <c r="U35" s="6" t="s">
        <v>19</v>
      </c>
      <c r="V35" s="178">
        <v>100</v>
      </c>
    </row>
    <row r="36" spans="2:23" x14ac:dyDescent="0.25">
      <c r="B36" s="6" t="s">
        <v>20</v>
      </c>
      <c r="C36" s="6" t="s">
        <v>19</v>
      </c>
      <c r="D36" s="178">
        <f t="shared" si="3"/>
        <v>89.558367000000004</v>
      </c>
      <c r="H36" s="6" t="s">
        <v>20</v>
      </c>
      <c r="I36" s="6" t="s">
        <v>19</v>
      </c>
      <c r="J36" s="178">
        <v>89.698488999999995</v>
      </c>
      <c r="N36" s="6" t="s">
        <v>20</v>
      </c>
      <c r="O36" s="6" t="s">
        <v>19</v>
      </c>
      <c r="P36" s="178">
        <v>89.618696</v>
      </c>
      <c r="T36" s="6" t="s">
        <v>20</v>
      </c>
      <c r="U36" s="6" t="s">
        <v>19</v>
      </c>
      <c r="V36" s="178">
        <v>89.505968999999993</v>
      </c>
    </row>
    <row r="37" spans="2:23" x14ac:dyDescent="0.25">
      <c r="B37" s="6" t="s">
        <v>21</v>
      </c>
      <c r="C37" s="6" t="s">
        <v>19</v>
      </c>
      <c r="D37" s="178">
        <f t="shared" si="3"/>
        <v>22.487777000000001</v>
      </c>
      <c r="H37" s="6" t="s">
        <v>21</v>
      </c>
      <c r="I37" s="6" t="s">
        <v>19</v>
      </c>
      <c r="J37" s="178">
        <v>22.731338999999998</v>
      </c>
      <c r="N37" s="6" t="s">
        <v>21</v>
      </c>
      <c r="O37" s="6" t="s">
        <v>19</v>
      </c>
      <c r="P37" s="178">
        <v>22.493141000000001</v>
      </c>
      <c r="T37" s="6" t="s">
        <v>21</v>
      </c>
      <c r="U37" s="6" t="s">
        <v>19</v>
      </c>
      <c r="V37" s="178">
        <v>22.685310999999999</v>
      </c>
    </row>
    <row r="38" spans="2:23" x14ac:dyDescent="0.25">
      <c r="B38" s="6" t="s">
        <v>22</v>
      </c>
      <c r="C38" s="6" t="s">
        <v>19</v>
      </c>
      <c r="D38" s="178">
        <f t="shared" si="3"/>
        <v>4.0087229999999998</v>
      </c>
      <c r="H38" s="6" t="s">
        <v>22</v>
      </c>
      <c r="I38" s="6" t="s">
        <v>19</v>
      </c>
      <c r="J38" s="178">
        <v>4.0133710000000002</v>
      </c>
      <c r="N38" s="6" t="s">
        <v>22</v>
      </c>
      <c r="O38" s="6" t="s">
        <v>19</v>
      </c>
      <c r="P38" s="178">
        <v>3.7303649999999999</v>
      </c>
      <c r="T38" s="6" t="s">
        <v>22</v>
      </c>
      <c r="U38" s="6" t="s">
        <v>19</v>
      </c>
      <c r="V38" s="178">
        <v>3.855845</v>
      </c>
    </row>
    <row r="39" spans="2:23" x14ac:dyDescent="0.25">
      <c r="B39" s="15" t="s">
        <v>23</v>
      </c>
      <c r="C39" s="15" t="s">
        <v>19</v>
      </c>
      <c r="D39" s="179">
        <f t="shared" si="3"/>
        <v>3.8321909999999999</v>
      </c>
      <c r="H39" s="15" t="s">
        <v>23</v>
      </c>
      <c r="I39" s="15" t="s">
        <v>19</v>
      </c>
      <c r="J39" s="179">
        <v>3.823312</v>
      </c>
      <c r="N39" s="15" t="s">
        <v>23</v>
      </c>
      <c r="O39" s="15" t="s">
        <v>19</v>
      </c>
      <c r="P39" s="179">
        <v>3.737422</v>
      </c>
      <c r="T39" s="15" t="s">
        <v>23</v>
      </c>
      <c r="U39" s="15" t="s">
        <v>19</v>
      </c>
      <c r="V39" s="179">
        <v>4.0510799999999998</v>
      </c>
    </row>
    <row r="40" spans="2:23" x14ac:dyDescent="0.25">
      <c r="B40" s="6" t="s">
        <v>24</v>
      </c>
      <c r="C40" s="6" t="s">
        <v>19</v>
      </c>
      <c r="D40" s="178">
        <f t="shared" si="3"/>
        <v>6.1408209999999999</v>
      </c>
      <c r="H40" s="6" t="s">
        <v>24</v>
      </c>
      <c r="I40" s="6" t="s">
        <v>19</v>
      </c>
      <c r="J40" s="178">
        <v>6.1364720000000004</v>
      </c>
      <c r="N40" s="6" t="s">
        <v>24</v>
      </c>
      <c r="O40" s="6" t="s">
        <v>19</v>
      </c>
      <c r="P40" s="178">
        <v>6.0894870000000001</v>
      </c>
      <c r="T40" s="6" t="s">
        <v>24</v>
      </c>
      <c r="U40" s="6" t="s">
        <v>19</v>
      </c>
      <c r="V40" s="178">
        <v>6.0872400000000004</v>
      </c>
    </row>
    <row r="41" spans="2:23" x14ac:dyDescent="0.25">
      <c r="B41" s="6" t="s">
        <v>25</v>
      </c>
      <c r="C41" s="6" t="s">
        <v>19</v>
      </c>
      <c r="D41" s="178">
        <f t="shared" si="3"/>
        <v>10.441632999999999</v>
      </c>
      <c r="H41" s="6" t="s">
        <v>25</v>
      </c>
      <c r="I41" s="6" t="s">
        <v>19</v>
      </c>
      <c r="J41" s="178">
        <v>10.301511</v>
      </c>
      <c r="N41" s="6" t="s">
        <v>25</v>
      </c>
      <c r="O41" s="6" t="s">
        <v>19</v>
      </c>
      <c r="P41" s="178">
        <v>10.381304</v>
      </c>
      <c r="T41" s="6" t="s">
        <v>25</v>
      </c>
      <c r="U41" s="6" t="s">
        <v>19</v>
      </c>
      <c r="V41" s="178">
        <v>10.494031</v>
      </c>
    </row>
    <row r="42" spans="2:23" x14ac:dyDescent="0.25">
      <c r="B42" s="6" t="s">
        <v>178</v>
      </c>
      <c r="C42" s="6" t="s">
        <v>19</v>
      </c>
      <c r="D42" s="178">
        <f t="shared" si="3"/>
        <v>53.017093000000003</v>
      </c>
      <c r="H42" s="6" t="s">
        <v>178</v>
      </c>
      <c r="I42" s="6" t="s">
        <v>19</v>
      </c>
      <c r="J42" s="178">
        <v>52.922314</v>
      </c>
      <c r="N42" s="6" t="s">
        <v>178</v>
      </c>
      <c r="O42" s="6" t="s">
        <v>19</v>
      </c>
      <c r="P42" s="178">
        <v>53.496138999999999</v>
      </c>
      <c r="T42" s="6" t="s">
        <v>178</v>
      </c>
      <c r="U42" s="6" t="s">
        <v>19</v>
      </c>
      <c r="V42" s="178">
        <v>52.753948999999999</v>
      </c>
    </row>
    <row r="43" spans="2:23" x14ac:dyDescent="0.25">
      <c r="B43" s="6" t="s">
        <v>26</v>
      </c>
      <c r="C43" s="6" t="s">
        <v>19</v>
      </c>
      <c r="D43" s="178">
        <f t="shared" si="3"/>
        <v>13.488346999999999</v>
      </c>
      <c r="H43" s="6" t="s">
        <v>26</v>
      </c>
      <c r="I43" s="6" t="s">
        <v>19</v>
      </c>
      <c r="J43" s="178">
        <v>13.763061</v>
      </c>
      <c r="N43" s="6" t="s">
        <v>26</v>
      </c>
      <c r="O43" s="6" t="s">
        <v>19</v>
      </c>
      <c r="P43" s="178">
        <v>12.894702000000001</v>
      </c>
      <c r="T43" s="6" t="s">
        <v>26</v>
      </c>
      <c r="U43" s="6" t="s">
        <v>19</v>
      </c>
      <c r="V43" s="178">
        <v>12.870131000000001</v>
      </c>
    </row>
    <row r="44" spans="2:23" x14ac:dyDescent="0.25">
      <c r="B44" s="6" t="s">
        <v>27</v>
      </c>
      <c r="C44" s="6" t="s">
        <v>19</v>
      </c>
      <c r="D44" s="178">
        <f t="shared" si="3"/>
        <v>5.4151629999999997</v>
      </c>
      <c r="H44" s="6" t="s">
        <v>27</v>
      </c>
      <c r="I44" s="6" t="s">
        <v>19</v>
      </c>
      <c r="J44" s="178">
        <v>5.3623139999999996</v>
      </c>
      <c r="N44" s="6" t="s">
        <v>27</v>
      </c>
      <c r="O44" s="6" t="s">
        <v>19</v>
      </c>
      <c r="P44" s="178">
        <v>5.0289390000000003</v>
      </c>
      <c r="T44" s="6" t="s">
        <v>27</v>
      </c>
      <c r="U44" s="6" t="s">
        <v>19</v>
      </c>
      <c r="V44" s="178">
        <v>5.4411250000000004</v>
      </c>
    </row>
    <row r="45" spans="2:23" x14ac:dyDescent="0.25">
      <c r="B45" s="6" t="s">
        <v>179</v>
      </c>
      <c r="C45" s="6" t="s">
        <v>19</v>
      </c>
      <c r="D45" s="178">
        <f t="shared" si="3"/>
        <v>15.270844</v>
      </c>
      <c r="H45" s="6" t="s">
        <v>179</v>
      </c>
      <c r="I45" s="6" t="s">
        <v>19</v>
      </c>
      <c r="J45" s="178">
        <v>14.584954</v>
      </c>
      <c r="N45" s="6" t="s">
        <v>179</v>
      </c>
      <c r="O45" s="6" t="s">
        <v>19</v>
      </c>
      <c r="P45" s="178">
        <v>13.335353</v>
      </c>
      <c r="T45" s="6" t="s">
        <v>179</v>
      </c>
      <c r="U45" s="6" t="s">
        <v>19</v>
      </c>
      <c r="V45" s="178">
        <v>13.053845000000001</v>
      </c>
    </row>
    <row r="46" spans="2:23" x14ac:dyDescent="0.25">
      <c r="B46" s="6" t="s">
        <v>28</v>
      </c>
      <c r="C46" s="6" t="s">
        <v>19</v>
      </c>
      <c r="D46" s="178">
        <f t="shared" si="3"/>
        <v>27.477421</v>
      </c>
      <c r="H46" s="6" t="s">
        <v>28</v>
      </c>
      <c r="I46" s="6" t="s">
        <v>19</v>
      </c>
      <c r="J46" s="178">
        <v>26.811264999999999</v>
      </c>
      <c r="N46" s="6" t="s">
        <v>28</v>
      </c>
      <c r="O46" s="6" t="s">
        <v>19</v>
      </c>
      <c r="P46" s="178">
        <v>28.524609999999999</v>
      </c>
      <c r="T46" s="6" t="s">
        <v>28</v>
      </c>
      <c r="U46" s="6" t="s">
        <v>19</v>
      </c>
      <c r="V46" s="178">
        <v>28.323748999999999</v>
      </c>
    </row>
    <row r="47" spans="2:23" x14ac:dyDescent="0.25">
      <c r="B47" s="6" t="s">
        <v>180</v>
      </c>
      <c r="C47" s="6" t="s">
        <v>19</v>
      </c>
      <c r="D47" s="178">
        <f t="shared" si="3"/>
        <v>3.0320320000000001</v>
      </c>
      <c r="H47" s="6" t="s">
        <v>180</v>
      </c>
      <c r="I47" s="6" t="s">
        <v>19</v>
      </c>
      <c r="J47" s="178">
        <v>3.110163</v>
      </c>
      <c r="N47" s="6" t="s">
        <v>180</v>
      </c>
      <c r="O47" s="6" t="s">
        <v>19</v>
      </c>
      <c r="P47" s="178">
        <v>3.325993</v>
      </c>
      <c r="T47" s="6" t="s">
        <v>180</v>
      </c>
      <c r="U47" s="6" t="s">
        <v>19</v>
      </c>
      <c r="V47" s="178">
        <v>3.2792150000000002</v>
      </c>
    </row>
    <row r="48" spans="2:23" x14ac:dyDescent="0.25">
      <c r="B48" s="15" t="s">
        <v>119</v>
      </c>
      <c r="C48" s="15" t="s">
        <v>19</v>
      </c>
      <c r="D48" s="179">
        <f t="shared" si="3"/>
        <v>6</v>
      </c>
      <c r="H48" s="15" t="s">
        <v>119</v>
      </c>
      <c r="I48" s="15" t="s">
        <v>19</v>
      </c>
      <c r="J48" s="179">
        <v>6</v>
      </c>
      <c r="N48" s="15" t="s">
        <v>119</v>
      </c>
      <c r="O48" s="15" t="s">
        <v>19</v>
      </c>
      <c r="P48" s="179">
        <v>6</v>
      </c>
      <c r="T48" s="15" t="s">
        <v>119</v>
      </c>
      <c r="U48" s="15" t="s">
        <v>19</v>
      </c>
      <c r="V48" s="179">
        <v>6</v>
      </c>
    </row>
    <row r="49" spans="1:23" x14ac:dyDescent="0.25">
      <c r="B49" s="6" t="s">
        <v>29</v>
      </c>
      <c r="C49" s="6" t="s">
        <v>30</v>
      </c>
      <c r="D49" s="178">
        <f t="shared" si="3"/>
        <v>3.3995359999999999</v>
      </c>
      <c r="H49" s="6" t="s">
        <v>29</v>
      </c>
      <c r="I49" s="6" t="s">
        <v>30</v>
      </c>
      <c r="J49" s="178">
        <v>3.4089559999999999</v>
      </c>
      <c r="N49" s="6" t="s">
        <v>29</v>
      </c>
      <c r="O49" s="6" t="s">
        <v>30</v>
      </c>
      <c r="P49" s="178">
        <v>3.4009330000000002</v>
      </c>
      <c r="T49" s="6" t="s">
        <v>29</v>
      </c>
      <c r="U49" s="6" t="s">
        <v>30</v>
      </c>
      <c r="V49" s="178">
        <v>3.4040590000000002</v>
      </c>
    </row>
    <row r="50" spans="1:23" x14ac:dyDescent="0.25">
      <c r="B50" s="6" t="s">
        <v>31</v>
      </c>
      <c r="C50" s="6" t="s">
        <v>30</v>
      </c>
      <c r="D50" s="178">
        <f t="shared" si="3"/>
        <v>3.2404899999999999</v>
      </c>
      <c r="H50" s="6" t="s">
        <v>31</v>
      </c>
      <c r="I50" s="6" t="s">
        <v>30</v>
      </c>
      <c r="J50" s="178">
        <v>3.2475619999999998</v>
      </c>
      <c r="N50" s="6" t="s">
        <v>31</v>
      </c>
      <c r="O50" s="6" t="s">
        <v>30</v>
      </c>
      <c r="P50" s="178">
        <v>3.237975</v>
      </c>
      <c r="T50" s="6" t="s">
        <v>31</v>
      </c>
      <c r="U50" s="6" t="s">
        <v>30</v>
      </c>
      <c r="V50" s="178">
        <v>3.2398579999999999</v>
      </c>
    </row>
    <row r="51" spans="1:23" x14ac:dyDescent="0.25">
      <c r="B51" s="15" t="s">
        <v>32</v>
      </c>
      <c r="C51" s="15" t="s">
        <v>30</v>
      </c>
      <c r="D51" s="179">
        <f t="shared" si="3"/>
        <v>2.3499219999999998</v>
      </c>
      <c r="H51" s="15" t="s">
        <v>32</v>
      </c>
      <c r="I51" s="15" t="s">
        <v>30</v>
      </c>
      <c r="J51" s="179">
        <v>2.3508879999999999</v>
      </c>
      <c r="N51" s="15" t="s">
        <v>32</v>
      </c>
      <c r="O51" s="15" t="s">
        <v>30</v>
      </c>
      <c r="P51" s="179">
        <v>2.3506360000000002</v>
      </c>
      <c r="T51" s="15" t="s">
        <v>32</v>
      </c>
      <c r="U51" s="15" t="s">
        <v>30</v>
      </c>
      <c r="V51" s="179">
        <v>2.350616</v>
      </c>
    </row>
    <row r="52" spans="1:23" x14ac:dyDescent="0.25">
      <c r="B52" s="6" t="s">
        <v>33</v>
      </c>
      <c r="C52" s="6" t="s">
        <v>30</v>
      </c>
      <c r="D52" s="178">
        <f t="shared" si="3"/>
        <v>2.424385</v>
      </c>
      <c r="H52" s="6" t="s">
        <v>33</v>
      </c>
      <c r="I52" s="6" t="s">
        <v>30</v>
      </c>
      <c r="J52" s="178">
        <v>2.4183159999999999</v>
      </c>
      <c r="N52" s="6" t="s">
        <v>33</v>
      </c>
      <c r="O52" s="6" t="s">
        <v>30</v>
      </c>
      <c r="P52" s="178">
        <v>2.4152</v>
      </c>
      <c r="T52" s="6" t="s">
        <v>33</v>
      </c>
      <c r="U52" s="6" t="s">
        <v>30</v>
      </c>
      <c r="V52" s="178">
        <v>2.4126979999999998</v>
      </c>
    </row>
    <row r="53" spans="1:23" x14ac:dyDescent="0.25">
      <c r="B53" s="15" t="s">
        <v>34</v>
      </c>
      <c r="C53" s="15" t="s">
        <v>19</v>
      </c>
      <c r="D53" s="179">
        <f t="shared" si="3"/>
        <v>0.60471399999999997</v>
      </c>
      <c r="H53" s="15" t="s">
        <v>34</v>
      </c>
      <c r="I53" s="15" t="s">
        <v>19</v>
      </c>
      <c r="J53" s="179">
        <v>0.59719999999999995</v>
      </c>
      <c r="N53" s="15" t="s">
        <v>34</v>
      </c>
      <c r="O53" s="15" t="s">
        <v>19</v>
      </c>
      <c r="P53" s="179">
        <v>0.59148400000000001</v>
      </c>
      <c r="T53" s="15" t="s">
        <v>34</v>
      </c>
      <c r="U53" s="15" t="s">
        <v>19</v>
      </c>
      <c r="V53" s="179">
        <v>0.59169899999999997</v>
      </c>
    </row>
    <row r="54" spans="1:23" s="36" customFormat="1" x14ac:dyDescent="0.25">
      <c r="A54" s="35"/>
      <c r="B54" s="18" t="s">
        <v>225</v>
      </c>
      <c r="C54" s="18" t="s">
        <v>19</v>
      </c>
      <c r="D54" s="180">
        <f t="shared" si="3"/>
        <v>0</v>
      </c>
      <c r="E54" s="180"/>
      <c r="G54" s="35"/>
      <c r="H54" s="18" t="s">
        <v>225</v>
      </c>
      <c r="I54" s="18" t="s">
        <v>19</v>
      </c>
      <c r="J54" s="180">
        <v>0</v>
      </c>
      <c r="K54" s="180"/>
      <c r="M54" s="35"/>
      <c r="N54" s="18" t="s">
        <v>225</v>
      </c>
      <c r="O54" s="18" t="s">
        <v>19</v>
      </c>
      <c r="P54" s="180">
        <v>0</v>
      </c>
      <c r="Q54" s="180"/>
      <c r="S54" s="35"/>
      <c r="T54" s="18" t="s">
        <v>225</v>
      </c>
      <c r="U54" s="18" t="s">
        <v>19</v>
      </c>
      <c r="V54" s="180">
        <v>0</v>
      </c>
      <c r="W54" s="180"/>
    </row>
    <row r="55" spans="1:23" s="36" customFormat="1" x14ac:dyDescent="0.25">
      <c r="A55" s="35"/>
      <c r="B55" s="18" t="s">
        <v>226</v>
      </c>
      <c r="C55" s="18" t="s">
        <v>19</v>
      </c>
      <c r="D55" s="180">
        <f t="shared" si="3"/>
        <v>0</v>
      </c>
      <c r="E55" s="180"/>
      <c r="G55" s="35"/>
      <c r="H55" s="18" t="s">
        <v>226</v>
      </c>
      <c r="I55" s="18" t="s">
        <v>19</v>
      </c>
      <c r="J55" s="180">
        <v>0</v>
      </c>
      <c r="K55" s="180"/>
      <c r="M55" s="35"/>
      <c r="N55" s="18" t="s">
        <v>226</v>
      </c>
      <c r="O55" s="18" t="s">
        <v>19</v>
      </c>
      <c r="P55" s="180">
        <v>0</v>
      </c>
      <c r="Q55" s="180"/>
      <c r="S55" s="35"/>
      <c r="T55" s="18" t="s">
        <v>226</v>
      </c>
      <c r="U55" s="18" t="s">
        <v>19</v>
      </c>
      <c r="V55" s="180">
        <v>0</v>
      </c>
      <c r="W55" s="180"/>
    </row>
    <row r="56" spans="1:23" x14ac:dyDescent="0.25">
      <c r="B56" s="6" t="s">
        <v>35</v>
      </c>
      <c r="C56" s="6" t="s">
        <v>19</v>
      </c>
      <c r="D56" s="178">
        <f t="shared" si="3"/>
        <v>0.60243800000000003</v>
      </c>
      <c r="H56" s="6" t="s">
        <v>35</v>
      </c>
      <c r="I56" s="6" t="s">
        <v>19</v>
      </c>
      <c r="J56" s="178">
        <v>0.60073200000000004</v>
      </c>
      <c r="N56" s="6" t="s">
        <v>35</v>
      </c>
      <c r="O56" s="6" t="s">
        <v>19</v>
      </c>
      <c r="P56" s="178">
        <v>0.596827</v>
      </c>
      <c r="T56" s="6" t="s">
        <v>35</v>
      </c>
      <c r="U56" s="6" t="s">
        <v>19</v>
      </c>
      <c r="V56" s="178">
        <v>0.596804</v>
      </c>
    </row>
    <row r="57" spans="1:23" x14ac:dyDescent="0.25">
      <c r="B57" s="15" t="s">
        <v>36</v>
      </c>
      <c r="C57" s="15" t="s">
        <v>19</v>
      </c>
      <c r="D57" s="179">
        <f t="shared" si="3"/>
        <v>0.48208400000000001</v>
      </c>
      <c r="H57" s="15" t="s">
        <v>36</v>
      </c>
      <c r="I57" s="15" t="s">
        <v>19</v>
      </c>
      <c r="J57" s="179">
        <v>0.47861599999999999</v>
      </c>
      <c r="N57" s="15" t="s">
        <v>36</v>
      </c>
      <c r="O57" s="15" t="s">
        <v>19</v>
      </c>
      <c r="P57" s="179">
        <v>0.47624300000000003</v>
      </c>
      <c r="T57" s="15" t="s">
        <v>36</v>
      </c>
      <c r="U57" s="15" t="s">
        <v>19</v>
      </c>
      <c r="V57" s="179">
        <v>0.47591699999999998</v>
      </c>
    </row>
    <row r="58" spans="1:23" x14ac:dyDescent="0.25">
      <c r="B58" s="6" t="s">
        <v>37</v>
      </c>
      <c r="C58" s="6" t="s">
        <v>19</v>
      </c>
      <c r="D58" s="178">
        <f t="shared" si="3"/>
        <v>0.39302399999999998</v>
      </c>
      <c r="H58" s="6" t="s">
        <v>37</v>
      </c>
      <c r="I58" s="6" t="s">
        <v>19</v>
      </c>
      <c r="J58" s="178">
        <v>0.38852700000000001</v>
      </c>
      <c r="N58" s="6" t="s">
        <v>37</v>
      </c>
      <c r="O58" s="6" t="s">
        <v>19</v>
      </c>
      <c r="P58" s="178">
        <v>0.38207200000000002</v>
      </c>
      <c r="T58" s="6" t="s">
        <v>37</v>
      </c>
      <c r="U58" s="6" t="s">
        <v>19</v>
      </c>
      <c r="V58" s="178">
        <v>0.38342700000000002</v>
      </c>
    </row>
    <row r="59" spans="1:23" x14ac:dyDescent="0.25">
      <c r="B59" s="6" t="s">
        <v>38</v>
      </c>
      <c r="C59" s="6" t="s">
        <v>19</v>
      </c>
      <c r="D59" s="178">
        <f t="shared" si="3"/>
        <v>0.50153300000000001</v>
      </c>
      <c r="H59" s="6" t="s">
        <v>38</v>
      </c>
      <c r="I59" s="6" t="s">
        <v>19</v>
      </c>
      <c r="J59" s="178">
        <v>0.50378299999999998</v>
      </c>
      <c r="N59" s="6" t="s">
        <v>38</v>
      </c>
      <c r="O59" s="6" t="s">
        <v>19</v>
      </c>
      <c r="P59" s="178">
        <v>0.49906099999999998</v>
      </c>
      <c r="T59" s="6" t="s">
        <v>38</v>
      </c>
      <c r="U59" s="6" t="s">
        <v>19</v>
      </c>
      <c r="V59" s="178">
        <v>0.49366399999999999</v>
      </c>
    </row>
    <row r="60" spans="1:23" x14ac:dyDescent="0.25">
      <c r="B60" s="6" t="s">
        <v>39</v>
      </c>
      <c r="C60" s="6" t="s">
        <v>19</v>
      </c>
      <c r="D60" s="178">
        <f t="shared" si="3"/>
        <v>0.24235300000000001</v>
      </c>
      <c r="H60" s="6" t="s">
        <v>39</v>
      </c>
      <c r="I60" s="6" t="s">
        <v>19</v>
      </c>
      <c r="J60" s="178">
        <v>0.244116</v>
      </c>
      <c r="N60" s="6" t="s">
        <v>39</v>
      </c>
      <c r="O60" s="6" t="s">
        <v>19</v>
      </c>
      <c r="P60" s="178">
        <v>0.24258399999999999</v>
      </c>
      <c r="T60" s="6" t="s">
        <v>39</v>
      </c>
      <c r="U60" s="6" t="s">
        <v>19</v>
      </c>
      <c r="V60" s="178">
        <v>0.24288699999999999</v>
      </c>
    </row>
    <row r="61" spans="1:23" x14ac:dyDescent="0.25">
      <c r="B61" s="15" t="s">
        <v>40</v>
      </c>
      <c r="C61" s="15" t="s">
        <v>19</v>
      </c>
      <c r="D61" s="179">
        <f t="shared" si="3"/>
        <v>0.122</v>
      </c>
      <c r="H61" s="15" t="s">
        <v>40</v>
      </c>
      <c r="I61" s="15" t="s">
        <v>19</v>
      </c>
      <c r="J61" s="179">
        <v>0.122</v>
      </c>
      <c r="N61" s="15" t="s">
        <v>40</v>
      </c>
      <c r="O61" s="15" t="s">
        <v>19</v>
      </c>
      <c r="P61" s="179">
        <v>0.122</v>
      </c>
      <c r="T61" s="15" t="s">
        <v>40</v>
      </c>
      <c r="U61" s="15" t="s">
        <v>19</v>
      </c>
      <c r="V61" s="179">
        <v>0.122</v>
      </c>
    </row>
    <row r="62" spans="1:23" x14ac:dyDescent="0.25">
      <c r="B62" s="6" t="s">
        <v>41</v>
      </c>
      <c r="C62" s="6" t="s">
        <v>19</v>
      </c>
      <c r="D62" s="178">
        <f t="shared" si="3"/>
        <v>0.10979999999999999</v>
      </c>
      <c r="H62" s="6" t="s">
        <v>41</v>
      </c>
      <c r="I62" s="6" t="s">
        <v>19</v>
      </c>
      <c r="J62" s="178">
        <v>0.10979999999999999</v>
      </c>
      <c r="N62" s="6" t="s">
        <v>41</v>
      </c>
      <c r="O62" s="6" t="s">
        <v>19</v>
      </c>
      <c r="P62" s="178">
        <v>0.10979999999999999</v>
      </c>
      <c r="T62" s="6" t="s">
        <v>41</v>
      </c>
      <c r="U62" s="6" t="s">
        <v>19</v>
      </c>
      <c r="V62" s="178">
        <v>0.10979999999999999</v>
      </c>
    </row>
    <row r="63" spans="1:23" x14ac:dyDescent="0.25">
      <c r="B63" s="6" t="s">
        <v>42</v>
      </c>
      <c r="C63" s="6" t="s">
        <v>19</v>
      </c>
      <c r="D63" s="178">
        <f t="shared" si="3"/>
        <v>0.11224000000000001</v>
      </c>
      <c r="H63" s="6" t="s">
        <v>42</v>
      </c>
      <c r="I63" s="6" t="s">
        <v>19</v>
      </c>
      <c r="J63" s="178">
        <v>0.11224000000000001</v>
      </c>
      <c r="N63" s="6" t="s">
        <v>42</v>
      </c>
      <c r="O63" s="6" t="s">
        <v>19</v>
      </c>
      <c r="P63" s="178">
        <v>0.11224000000000001</v>
      </c>
      <c r="T63" s="6" t="s">
        <v>42</v>
      </c>
      <c r="U63" s="6" t="s">
        <v>19</v>
      </c>
      <c r="V63" s="178">
        <v>0.11224000000000001</v>
      </c>
    </row>
    <row r="64" spans="1:23" x14ac:dyDescent="0.25">
      <c r="B64" s="15" t="s">
        <v>43</v>
      </c>
      <c r="C64" s="15" t="s">
        <v>44</v>
      </c>
      <c r="D64" s="186">
        <f t="shared" si="3"/>
        <v>1500</v>
      </c>
      <c r="E64" s="185"/>
      <c r="H64" s="15" t="s">
        <v>43</v>
      </c>
      <c r="I64" s="15" t="s">
        <v>44</v>
      </c>
      <c r="J64" s="186">
        <v>1500</v>
      </c>
      <c r="K64" s="185"/>
      <c r="N64" s="15" t="s">
        <v>43</v>
      </c>
      <c r="O64" s="15" t="s">
        <v>44</v>
      </c>
      <c r="P64" s="186">
        <v>1500</v>
      </c>
      <c r="Q64" s="185"/>
      <c r="T64" s="15" t="s">
        <v>43</v>
      </c>
      <c r="U64" s="15" t="s">
        <v>44</v>
      </c>
      <c r="V64" s="186">
        <v>1500</v>
      </c>
      <c r="W64" s="185"/>
    </row>
    <row r="65" spans="2:22" x14ac:dyDescent="0.25">
      <c r="B65" s="176" t="s">
        <v>45</v>
      </c>
      <c r="C65" s="176" t="s">
        <v>46</v>
      </c>
      <c r="D65" s="182">
        <f t="shared" si="3"/>
        <v>1.003779</v>
      </c>
      <c r="H65" s="176" t="s">
        <v>45</v>
      </c>
      <c r="I65" s="176" t="s">
        <v>46</v>
      </c>
      <c r="J65" s="182">
        <v>0.99412199999999995</v>
      </c>
      <c r="N65" s="176" t="s">
        <v>45</v>
      </c>
      <c r="O65" s="176" t="s">
        <v>46</v>
      </c>
      <c r="P65" s="182">
        <v>0.99104700000000001</v>
      </c>
      <c r="T65" s="176" t="s">
        <v>45</v>
      </c>
      <c r="U65" s="176" t="s">
        <v>46</v>
      </c>
      <c r="V65" s="182">
        <v>0.99144699999999997</v>
      </c>
    </row>
    <row r="66" spans="2:22" x14ac:dyDescent="0.25">
      <c r="B66" s="6" t="s">
        <v>47</v>
      </c>
      <c r="C66" s="6" t="s">
        <v>46</v>
      </c>
      <c r="D66" s="178">
        <f t="shared" si="3"/>
        <v>1.2543740000000001</v>
      </c>
      <c r="H66" s="6" t="s">
        <v>47</v>
      </c>
      <c r="I66" s="6" t="s">
        <v>46</v>
      </c>
      <c r="J66" s="178">
        <v>1.2477659999999999</v>
      </c>
      <c r="N66" s="6" t="s">
        <v>47</v>
      </c>
      <c r="O66" s="6" t="s">
        <v>46</v>
      </c>
      <c r="P66" s="178">
        <v>1.241978</v>
      </c>
      <c r="T66" s="6" t="s">
        <v>47</v>
      </c>
      <c r="U66" s="6" t="s">
        <v>46</v>
      </c>
      <c r="V66" s="178">
        <v>1.243282</v>
      </c>
    </row>
    <row r="67" spans="2:22" x14ac:dyDescent="0.25">
      <c r="B67" s="6" t="s">
        <v>48</v>
      </c>
      <c r="C67" s="6" t="s">
        <v>46</v>
      </c>
      <c r="D67" s="178">
        <f t="shared" ref="D67:D98" si="4">IFERROR(VLOOKUP(B67,raw_2,5,FALSE),0)</f>
        <v>1.538619</v>
      </c>
      <c r="H67" s="6" t="s">
        <v>48</v>
      </c>
      <c r="I67" s="6" t="s">
        <v>46</v>
      </c>
      <c r="J67" s="178">
        <v>1.5370870000000001</v>
      </c>
      <c r="N67" s="6" t="s">
        <v>48</v>
      </c>
      <c r="O67" s="6" t="s">
        <v>46</v>
      </c>
      <c r="P67" s="178">
        <v>1.5480959999999999</v>
      </c>
      <c r="T67" s="6" t="s">
        <v>48</v>
      </c>
      <c r="U67" s="6" t="s">
        <v>46</v>
      </c>
      <c r="V67" s="178">
        <v>1.5431889999999999</v>
      </c>
    </row>
    <row r="68" spans="2:22" x14ac:dyDescent="0.25">
      <c r="B68" s="6" t="s">
        <v>181</v>
      </c>
      <c r="C68" s="6" t="s">
        <v>46</v>
      </c>
      <c r="D68" s="178">
        <f t="shared" si="4"/>
        <v>1.205732</v>
      </c>
      <c r="H68" s="6" t="s">
        <v>181</v>
      </c>
      <c r="I68" s="6" t="s">
        <v>46</v>
      </c>
      <c r="J68" s="178">
        <v>1.185432</v>
      </c>
      <c r="N68" s="6" t="s">
        <v>181</v>
      </c>
      <c r="O68" s="6" t="s">
        <v>46</v>
      </c>
      <c r="P68" s="178">
        <v>1.1851929999999999</v>
      </c>
      <c r="T68" s="6" t="s">
        <v>181</v>
      </c>
      <c r="U68" s="6" t="s">
        <v>46</v>
      </c>
      <c r="V68" s="178">
        <v>1.1985870000000001</v>
      </c>
    </row>
    <row r="69" spans="2:22" x14ac:dyDescent="0.25">
      <c r="B69" s="15" t="s">
        <v>49</v>
      </c>
      <c r="C69" s="15" t="s">
        <v>19</v>
      </c>
      <c r="D69" s="179">
        <f t="shared" si="4"/>
        <v>0.27204099999999998</v>
      </c>
      <c r="H69" s="15" t="s">
        <v>49</v>
      </c>
      <c r="I69" s="15" t="s">
        <v>19</v>
      </c>
      <c r="J69" s="179">
        <v>0.27192</v>
      </c>
      <c r="N69" s="15" t="s">
        <v>49</v>
      </c>
      <c r="O69" s="15" t="s">
        <v>19</v>
      </c>
      <c r="P69" s="179">
        <v>0.28284900000000002</v>
      </c>
      <c r="T69" s="15" t="s">
        <v>49</v>
      </c>
      <c r="U69" s="15" t="s">
        <v>19</v>
      </c>
      <c r="V69" s="179">
        <v>0.28321200000000002</v>
      </c>
    </row>
    <row r="70" spans="2:22" x14ac:dyDescent="0.25">
      <c r="B70" s="6" t="s">
        <v>50</v>
      </c>
      <c r="C70" s="6" t="s">
        <v>19</v>
      </c>
      <c r="D70" s="178">
        <f t="shared" si="4"/>
        <v>1.0404690000000001</v>
      </c>
      <c r="H70" s="6" t="s">
        <v>50</v>
      </c>
      <c r="I70" s="6" t="s">
        <v>19</v>
      </c>
      <c r="J70" s="178">
        <v>1.0446820000000001</v>
      </c>
      <c r="N70" s="6" t="s">
        <v>50</v>
      </c>
      <c r="O70" s="6" t="s">
        <v>19</v>
      </c>
      <c r="P70" s="178">
        <v>1.0521469999999999</v>
      </c>
      <c r="T70" s="6" t="s">
        <v>50</v>
      </c>
      <c r="U70" s="6" t="s">
        <v>19</v>
      </c>
      <c r="V70" s="178">
        <v>1.06908</v>
      </c>
    </row>
    <row r="71" spans="2:22" x14ac:dyDescent="0.25">
      <c r="B71" s="6" t="s">
        <v>51</v>
      </c>
      <c r="C71" s="6" t="s">
        <v>19</v>
      </c>
      <c r="D71" s="178">
        <f t="shared" si="4"/>
        <v>0.47384500000000002</v>
      </c>
      <c r="H71" s="6" t="s">
        <v>51</v>
      </c>
      <c r="I71" s="6" t="s">
        <v>19</v>
      </c>
      <c r="J71" s="178">
        <v>0.47617999999999999</v>
      </c>
      <c r="N71" s="6" t="s">
        <v>51</v>
      </c>
      <c r="O71" s="6" t="s">
        <v>19</v>
      </c>
      <c r="P71" s="178">
        <v>0.50204800000000005</v>
      </c>
      <c r="T71" s="6" t="s">
        <v>51</v>
      </c>
      <c r="U71" s="6" t="s">
        <v>19</v>
      </c>
      <c r="V71" s="178">
        <v>0.50292099999999995</v>
      </c>
    </row>
    <row r="72" spans="2:22" x14ac:dyDescent="0.25">
      <c r="B72" s="6" t="s">
        <v>52</v>
      </c>
      <c r="C72" s="6" t="s">
        <v>19</v>
      </c>
      <c r="D72" s="178">
        <f t="shared" si="4"/>
        <v>0.216281</v>
      </c>
      <c r="H72" s="6" t="s">
        <v>52</v>
      </c>
      <c r="I72" s="6" t="s">
        <v>19</v>
      </c>
      <c r="J72" s="178">
        <v>0.21799099999999999</v>
      </c>
      <c r="N72" s="6" t="s">
        <v>52</v>
      </c>
      <c r="O72" s="6" t="s">
        <v>19</v>
      </c>
      <c r="P72" s="178">
        <v>0.20849799999999999</v>
      </c>
      <c r="T72" s="6" t="s">
        <v>52</v>
      </c>
      <c r="U72" s="6" t="s">
        <v>19</v>
      </c>
      <c r="V72" s="178">
        <v>0.205341</v>
      </c>
    </row>
    <row r="73" spans="2:22" x14ac:dyDescent="0.25">
      <c r="B73" s="6" t="s">
        <v>53</v>
      </c>
      <c r="C73" s="6" t="s">
        <v>19</v>
      </c>
      <c r="D73" s="178">
        <f t="shared" si="4"/>
        <v>0.35063100000000003</v>
      </c>
      <c r="H73" s="6" t="s">
        <v>53</v>
      </c>
      <c r="I73" s="6" t="s">
        <v>19</v>
      </c>
      <c r="J73" s="178">
        <v>0.354931</v>
      </c>
      <c r="N73" s="6" t="s">
        <v>53</v>
      </c>
      <c r="O73" s="6" t="s">
        <v>19</v>
      </c>
      <c r="P73" s="178">
        <v>0.33183800000000002</v>
      </c>
      <c r="T73" s="6" t="s">
        <v>53</v>
      </c>
      <c r="U73" s="6" t="s">
        <v>19</v>
      </c>
      <c r="V73" s="178">
        <v>0.337146</v>
      </c>
    </row>
    <row r="74" spans="2:22" x14ac:dyDescent="0.25">
      <c r="B74" s="15" t="s">
        <v>182</v>
      </c>
      <c r="C74" s="15" t="s">
        <v>19</v>
      </c>
      <c r="D74" s="179">
        <f t="shared" si="4"/>
        <v>0.68871099999999996</v>
      </c>
      <c r="H74" s="15" t="s">
        <v>182</v>
      </c>
      <c r="I74" s="15" t="s">
        <v>19</v>
      </c>
      <c r="J74" s="179">
        <v>0.68840500000000004</v>
      </c>
      <c r="N74" s="15" t="s">
        <v>182</v>
      </c>
      <c r="O74" s="15" t="s">
        <v>19</v>
      </c>
      <c r="P74" s="179">
        <v>0.71607399999999999</v>
      </c>
      <c r="T74" s="15" t="s">
        <v>182</v>
      </c>
      <c r="U74" s="15" t="s">
        <v>19</v>
      </c>
      <c r="V74" s="179">
        <v>0.71699199999999996</v>
      </c>
    </row>
    <row r="75" spans="2:22" x14ac:dyDescent="0.25">
      <c r="B75" s="6" t="s">
        <v>183</v>
      </c>
      <c r="C75" s="6" t="s">
        <v>184</v>
      </c>
      <c r="D75" s="178">
        <f t="shared" si="4"/>
        <v>85.417755999999997</v>
      </c>
      <c r="H75" s="6" t="s">
        <v>183</v>
      </c>
      <c r="I75" s="6" t="s">
        <v>184</v>
      </c>
      <c r="J75" s="178">
        <v>82.279380000000003</v>
      </c>
      <c r="N75" s="6" t="s">
        <v>183</v>
      </c>
      <c r="O75" s="6" t="s">
        <v>184</v>
      </c>
      <c r="P75" s="178">
        <v>95.186364999999995</v>
      </c>
      <c r="T75" s="6" t="s">
        <v>183</v>
      </c>
      <c r="U75" s="6" t="s">
        <v>184</v>
      </c>
      <c r="V75" s="178">
        <v>96.247632999999993</v>
      </c>
    </row>
    <row r="76" spans="2:22" x14ac:dyDescent="0.25">
      <c r="B76" s="6" t="s">
        <v>54</v>
      </c>
      <c r="C76" s="6" t="s">
        <v>19</v>
      </c>
      <c r="D76" s="178">
        <f t="shared" si="4"/>
        <v>1.4125730000000001</v>
      </c>
      <c r="H76" s="6" t="s">
        <v>54</v>
      </c>
      <c r="I76" s="6" t="s">
        <v>19</v>
      </c>
      <c r="J76" s="178">
        <v>1.4098520000000001</v>
      </c>
      <c r="N76" s="6" t="s">
        <v>54</v>
      </c>
      <c r="O76" s="6" t="s">
        <v>19</v>
      </c>
      <c r="P76" s="178">
        <v>1.401877</v>
      </c>
      <c r="T76" s="6" t="s">
        <v>54</v>
      </c>
      <c r="U76" s="6" t="s">
        <v>19</v>
      </c>
      <c r="V76" s="178">
        <v>1.4095299999999999</v>
      </c>
    </row>
    <row r="77" spans="2:22" x14ac:dyDescent="0.25">
      <c r="B77" s="15" t="s">
        <v>55</v>
      </c>
      <c r="C77" s="15" t="s">
        <v>19</v>
      </c>
      <c r="D77" s="179">
        <f t="shared" si="4"/>
        <v>1.2504580000000001</v>
      </c>
      <c r="H77" s="15" t="s">
        <v>55</v>
      </c>
      <c r="I77" s="15" t="s">
        <v>19</v>
      </c>
      <c r="J77" s="179">
        <v>1.249881</v>
      </c>
      <c r="N77" s="15" t="s">
        <v>55</v>
      </c>
      <c r="O77" s="15" t="s">
        <v>19</v>
      </c>
      <c r="P77" s="179">
        <v>1.2500690000000001</v>
      </c>
      <c r="T77" s="15" t="s">
        <v>55</v>
      </c>
      <c r="U77" s="15" t="s">
        <v>19</v>
      </c>
      <c r="V77" s="179">
        <v>1.250048</v>
      </c>
    </row>
    <row r="78" spans="2:22" x14ac:dyDescent="0.25">
      <c r="B78" s="15" t="s">
        <v>56</v>
      </c>
      <c r="C78" s="15" t="s">
        <v>46</v>
      </c>
      <c r="D78" s="179">
        <f t="shared" si="4"/>
        <v>0.33979900000000002</v>
      </c>
      <c r="H78" s="15" t="s">
        <v>56</v>
      </c>
      <c r="I78" s="15" t="s">
        <v>46</v>
      </c>
      <c r="J78" s="179">
        <v>0.33305499999999999</v>
      </c>
      <c r="N78" s="15" t="s">
        <v>56</v>
      </c>
      <c r="O78" s="15" t="s">
        <v>46</v>
      </c>
      <c r="P78" s="179">
        <v>0.33575199999999999</v>
      </c>
      <c r="T78" s="15" t="s">
        <v>56</v>
      </c>
      <c r="U78" s="15" t="s">
        <v>46</v>
      </c>
      <c r="V78" s="179">
        <v>0.34176699999999999</v>
      </c>
    </row>
    <row r="79" spans="2:22" x14ac:dyDescent="0.25">
      <c r="B79" s="6" t="s">
        <v>57</v>
      </c>
      <c r="C79" s="6" t="s">
        <v>46</v>
      </c>
      <c r="D79" s="178">
        <f t="shared" si="4"/>
        <v>0.240648</v>
      </c>
      <c r="H79" s="6" t="s">
        <v>57</v>
      </c>
      <c r="I79" s="6" t="s">
        <v>46</v>
      </c>
      <c r="J79" s="178">
        <v>0.248836</v>
      </c>
      <c r="N79" s="6" t="s">
        <v>57</v>
      </c>
      <c r="O79" s="6" t="s">
        <v>46</v>
      </c>
      <c r="P79" s="178">
        <v>0.24623</v>
      </c>
      <c r="T79" s="6" t="s">
        <v>57</v>
      </c>
      <c r="U79" s="6" t="s">
        <v>46</v>
      </c>
      <c r="V79" s="178">
        <v>0.237677</v>
      </c>
    </row>
    <row r="80" spans="2:22" x14ac:dyDescent="0.25">
      <c r="B80" s="15" t="s">
        <v>58</v>
      </c>
      <c r="C80" s="15" t="s">
        <v>46</v>
      </c>
      <c r="D80" s="179">
        <f t="shared" si="4"/>
        <v>0.58044700000000005</v>
      </c>
      <c r="H80" s="15" t="s">
        <v>58</v>
      </c>
      <c r="I80" s="15" t="s">
        <v>46</v>
      </c>
      <c r="J80" s="179">
        <v>0.58189000000000002</v>
      </c>
      <c r="N80" s="15" t="s">
        <v>58</v>
      </c>
      <c r="O80" s="15" t="s">
        <v>46</v>
      </c>
      <c r="P80" s="179">
        <v>0.581982</v>
      </c>
      <c r="T80" s="15" t="s">
        <v>58</v>
      </c>
      <c r="U80" s="15" t="s">
        <v>46</v>
      </c>
      <c r="V80" s="179">
        <v>0.57944499999999999</v>
      </c>
    </row>
    <row r="81" spans="2:22" x14ac:dyDescent="0.25">
      <c r="B81" s="15" t="s">
        <v>59</v>
      </c>
      <c r="C81" s="15" t="s">
        <v>46</v>
      </c>
      <c r="D81" s="179">
        <f t="shared" si="4"/>
        <v>0.64842200000000005</v>
      </c>
      <c r="H81" s="15" t="s">
        <v>59</v>
      </c>
      <c r="I81" s="15" t="s">
        <v>46</v>
      </c>
      <c r="J81" s="179">
        <v>0.65166999999999997</v>
      </c>
      <c r="N81" s="15" t="s">
        <v>59</v>
      </c>
      <c r="O81" s="15" t="s">
        <v>46</v>
      </c>
      <c r="P81" s="179">
        <v>0.64863800000000005</v>
      </c>
      <c r="T81" s="15" t="s">
        <v>59</v>
      </c>
      <c r="U81" s="15" t="s">
        <v>46</v>
      </c>
      <c r="V81" s="179">
        <v>0.64982399999999996</v>
      </c>
    </row>
    <row r="82" spans="2:22" x14ac:dyDescent="0.25">
      <c r="B82" s="15" t="s">
        <v>60</v>
      </c>
      <c r="C82" s="15" t="s">
        <v>46</v>
      </c>
      <c r="D82" s="179">
        <f t="shared" si="4"/>
        <v>0.19953899999999999</v>
      </c>
      <c r="H82" s="15" t="s">
        <v>60</v>
      </c>
      <c r="I82" s="15" t="s">
        <v>46</v>
      </c>
      <c r="J82" s="179">
        <v>0.20042499999999999</v>
      </c>
      <c r="N82" s="15" t="s">
        <v>60</v>
      </c>
      <c r="O82" s="15" t="s">
        <v>46</v>
      </c>
      <c r="P82" s="179">
        <v>0.19959299999999999</v>
      </c>
      <c r="T82" s="15" t="s">
        <v>60</v>
      </c>
      <c r="U82" s="15" t="s">
        <v>46</v>
      </c>
      <c r="V82" s="179">
        <v>0.20081599999999999</v>
      </c>
    </row>
    <row r="83" spans="2:22" x14ac:dyDescent="0.25">
      <c r="B83" s="15" t="s">
        <v>61</v>
      </c>
      <c r="C83" s="15" t="s">
        <v>46</v>
      </c>
      <c r="D83" s="179">
        <f t="shared" si="4"/>
        <v>0.62347600000000003</v>
      </c>
      <c r="H83" s="15" t="s">
        <v>61</v>
      </c>
      <c r="I83" s="15" t="s">
        <v>46</v>
      </c>
      <c r="J83" s="179">
        <v>0.62776799999999999</v>
      </c>
      <c r="N83" s="15" t="s">
        <v>61</v>
      </c>
      <c r="O83" s="15" t="s">
        <v>46</v>
      </c>
      <c r="P83" s="179">
        <v>0.63114899999999996</v>
      </c>
      <c r="T83" s="15" t="s">
        <v>61</v>
      </c>
      <c r="U83" s="15" t="s">
        <v>46</v>
      </c>
      <c r="V83" s="179">
        <v>0.63243700000000003</v>
      </c>
    </row>
    <row r="84" spans="2:22" x14ac:dyDescent="0.25">
      <c r="B84" s="15" t="s">
        <v>62</v>
      </c>
      <c r="C84" s="15" t="s">
        <v>46</v>
      </c>
      <c r="D84" s="179">
        <f t="shared" si="4"/>
        <v>0.70001000000000002</v>
      </c>
      <c r="H84" s="15" t="s">
        <v>62</v>
      </c>
      <c r="I84" s="15" t="s">
        <v>46</v>
      </c>
      <c r="J84" s="179">
        <v>0.70445100000000005</v>
      </c>
      <c r="N84" s="15" t="s">
        <v>62</v>
      </c>
      <c r="O84" s="15" t="s">
        <v>46</v>
      </c>
      <c r="P84" s="179">
        <v>0.70005399999999995</v>
      </c>
      <c r="T84" s="15" t="s">
        <v>62</v>
      </c>
      <c r="U84" s="15" t="s">
        <v>46</v>
      </c>
      <c r="V84" s="179">
        <v>0.70005300000000004</v>
      </c>
    </row>
    <row r="85" spans="2:22" x14ac:dyDescent="0.25">
      <c r="B85" s="6" t="s">
        <v>63</v>
      </c>
      <c r="C85" s="6" t="s">
        <v>46</v>
      </c>
      <c r="D85" s="178">
        <f t="shared" si="4"/>
        <v>1.2670520000000001</v>
      </c>
      <c r="H85" s="6" t="s">
        <v>63</v>
      </c>
      <c r="I85" s="6" t="s">
        <v>46</v>
      </c>
      <c r="J85" s="178">
        <v>1.2407410000000001</v>
      </c>
      <c r="N85" s="6" t="s">
        <v>63</v>
      </c>
      <c r="O85" s="6" t="s">
        <v>46</v>
      </c>
      <c r="P85" s="178">
        <v>1.1942619999999999</v>
      </c>
      <c r="T85" s="6" t="s">
        <v>63</v>
      </c>
      <c r="U85" s="6" t="s">
        <v>46</v>
      </c>
      <c r="V85" s="178">
        <v>1.1973259999999999</v>
      </c>
    </row>
    <row r="86" spans="2:22" x14ac:dyDescent="0.25">
      <c r="B86" s="6" t="s">
        <v>64</v>
      </c>
      <c r="C86" s="6" t="s">
        <v>46</v>
      </c>
      <c r="D86" s="178">
        <f t="shared" si="4"/>
        <v>0.95191400000000004</v>
      </c>
      <c r="H86" s="6" t="s">
        <v>64</v>
      </c>
      <c r="I86" s="6" t="s">
        <v>46</v>
      </c>
      <c r="J86" s="178">
        <v>0.954793</v>
      </c>
      <c r="N86" s="6" t="s">
        <v>64</v>
      </c>
      <c r="O86" s="6" t="s">
        <v>46</v>
      </c>
      <c r="P86" s="178">
        <v>0.98426499999999995</v>
      </c>
      <c r="T86" s="6" t="s">
        <v>64</v>
      </c>
      <c r="U86" s="6" t="s">
        <v>46</v>
      </c>
      <c r="V86" s="178">
        <v>1.0247839999999999</v>
      </c>
    </row>
    <row r="87" spans="2:22" x14ac:dyDescent="0.25">
      <c r="B87" s="6" t="s">
        <v>65</v>
      </c>
      <c r="C87" s="6" t="s">
        <v>46</v>
      </c>
      <c r="D87" s="178">
        <f t="shared" si="4"/>
        <v>0.387378</v>
      </c>
      <c r="H87" s="6" t="s">
        <v>65</v>
      </c>
      <c r="I87" s="6" t="s">
        <v>46</v>
      </c>
      <c r="J87" s="178">
        <v>0.38639800000000002</v>
      </c>
      <c r="N87" s="6" t="s">
        <v>65</v>
      </c>
      <c r="O87" s="6" t="s">
        <v>46</v>
      </c>
      <c r="P87" s="178">
        <v>0.385629</v>
      </c>
      <c r="T87" s="6" t="s">
        <v>65</v>
      </c>
      <c r="U87" s="6" t="s">
        <v>46</v>
      </c>
      <c r="V87" s="178">
        <v>0.38841500000000001</v>
      </c>
    </row>
    <row r="88" spans="2:22" x14ac:dyDescent="0.25">
      <c r="B88" s="6" t="s">
        <v>66</v>
      </c>
      <c r="C88" s="6" t="s">
        <v>46</v>
      </c>
      <c r="D88" s="178">
        <f t="shared" si="4"/>
        <v>0.75197800000000004</v>
      </c>
      <c r="H88" s="6" t="s">
        <v>66</v>
      </c>
      <c r="I88" s="6" t="s">
        <v>46</v>
      </c>
      <c r="J88" s="178">
        <v>0.75829400000000002</v>
      </c>
      <c r="N88" s="6" t="s">
        <v>66</v>
      </c>
      <c r="O88" s="6" t="s">
        <v>46</v>
      </c>
      <c r="P88" s="178">
        <v>0.75379200000000002</v>
      </c>
      <c r="T88" s="6" t="s">
        <v>66</v>
      </c>
      <c r="U88" s="6" t="s">
        <v>46</v>
      </c>
      <c r="V88" s="178">
        <v>0.74607000000000001</v>
      </c>
    </row>
    <row r="89" spans="2:22" x14ac:dyDescent="0.25">
      <c r="B89" s="6" t="s">
        <v>67</v>
      </c>
      <c r="C89" s="6" t="s">
        <v>46</v>
      </c>
      <c r="D89" s="178">
        <f t="shared" si="4"/>
        <v>0.54361400000000004</v>
      </c>
      <c r="H89" s="6" t="s">
        <v>67</v>
      </c>
      <c r="I89" s="6" t="s">
        <v>46</v>
      </c>
      <c r="J89" s="178">
        <v>0.546933</v>
      </c>
      <c r="N89" s="6" t="s">
        <v>67</v>
      </c>
      <c r="O89" s="6" t="s">
        <v>46</v>
      </c>
      <c r="P89" s="178">
        <v>0.53798900000000005</v>
      </c>
      <c r="T89" s="6" t="s">
        <v>67</v>
      </c>
      <c r="U89" s="6" t="s">
        <v>46</v>
      </c>
      <c r="V89" s="178">
        <v>0.53644499999999995</v>
      </c>
    </row>
    <row r="90" spans="2:22" x14ac:dyDescent="0.25">
      <c r="B90" s="6" t="s">
        <v>68</v>
      </c>
      <c r="C90" s="6" t="s">
        <v>46</v>
      </c>
      <c r="D90" s="178">
        <f t="shared" si="4"/>
        <v>1.295593</v>
      </c>
      <c r="H90" s="6" t="s">
        <v>68</v>
      </c>
      <c r="I90" s="6" t="s">
        <v>46</v>
      </c>
      <c r="J90" s="178">
        <v>1.3052269999999999</v>
      </c>
      <c r="N90" s="6" t="s">
        <v>68</v>
      </c>
      <c r="O90" s="6" t="s">
        <v>46</v>
      </c>
      <c r="P90" s="178">
        <v>1.2917810000000001</v>
      </c>
      <c r="T90" s="6" t="s">
        <v>68</v>
      </c>
      <c r="U90" s="6" t="s">
        <v>46</v>
      </c>
      <c r="V90" s="178">
        <v>1.2825150000000001</v>
      </c>
    </row>
    <row r="91" spans="2:22" x14ac:dyDescent="0.25">
      <c r="B91" s="6" t="s">
        <v>69</v>
      </c>
      <c r="C91" s="6" t="s">
        <v>70</v>
      </c>
      <c r="D91" s="178">
        <f t="shared" si="4"/>
        <v>12.504578</v>
      </c>
      <c r="H91" s="6" t="s">
        <v>69</v>
      </c>
      <c r="I91" s="6" t="s">
        <v>70</v>
      </c>
      <c r="J91" s="178">
        <v>12.498813</v>
      </c>
      <c r="N91" s="6" t="s">
        <v>69</v>
      </c>
      <c r="O91" s="6" t="s">
        <v>70</v>
      </c>
      <c r="P91" s="178">
        <v>12.500693</v>
      </c>
      <c r="T91" s="6" t="s">
        <v>69</v>
      </c>
      <c r="U91" s="6" t="s">
        <v>70</v>
      </c>
      <c r="V91" s="178">
        <v>12.500479</v>
      </c>
    </row>
    <row r="92" spans="2:22" x14ac:dyDescent="0.25">
      <c r="B92" s="15" t="s">
        <v>71</v>
      </c>
      <c r="C92" s="15" t="s">
        <v>72</v>
      </c>
      <c r="D92" s="179">
        <f t="shared" si="4"/>
        <v>5.3212729999999997</v>
      </c>
      <c r="H92" s="15" t="s">
        <v>71</v>
      </c>
      <c r="I92" s="15" t="s">
        <v>72</v>
      </c>
      <c r="J92" s="179">
        <v>5.3166359999999999</v>
      </c>
      <c r="N92" s="15" t="s">
        <v>71</v>
      </c>
      <c r="O92" s="15" t="s">
        <v>72</v>
      </c>
      <c r="P92" s="179">
        <v>5.3180050000000003</v>
      </c>
      <c r="T92" s="15" t="s">
        <v>71</v>
      </c>
      <c r="U92" s="15" t="s">
        <v>72</v>
      </c>
      <c r="V92" s="179">
        <v>5.3179590000000001</v>
      </c>
    </row>
    <row r="93" spans="2:22" x14ac:dyDescent="0.25">
      <c r="B93" s="18" t="s">
        <v>73</v>
      </c>
      <c r="C93" s="18" t="s">
        <v>72</v>
      </c>
      <c r="D93" s="180">
        <f t="shared" si="4"/>
        <v>5.1578350000000004</v>
      </c>
      <c r="H93" s="18" t="s">
        <v>73</v>
      </c>
      <c r="I93" s="18" t="s">
        <v>72</v>
      </c>
      <c r="J93" s="180">
        <v>5.1683960000000004</v>
      </c>
      <c r="N93" s="18" t="s">
        <v>73</v>
      </c>
      <c r="O93" s="18" t="s">
        <v>72</v>
      </c>
      <c r="P93" s="180">
        <v>5.1758420000000003</v>
      </c>
      <c r="T93" s="18" t="s">
        <v>73</v>
      </c>
      <c r="U93" s="18" t="s">
        <v>72</v>
      </c>
      <c r="V93" s="180">
        <v>5.1811199999999999</v>
      </c>
    </row>
    <row r="94" spans="2:22" x14ac:dyDescent="0.25">
      <c r="B94" s="6" t="s">
        <v>74</v>
      </c>
      <c r="C94" s="6" t="s">
        <v>19</v>
      </c>
      <c r="D94" s="178">
        <f t="shared" si="4"/>
        <v>0.42490499999999998</v>
      </c>
      <c r="H94" s="6" t="s">
        <v>74</v>
      </c>
      <c r="I94" s="6" t="s">
        <v>19</v>
      </c>
      <c r="J94" s="178">
        <v>0.41627900000000001</v>
      </c>
      <c r="N94" s="6" t="s">
        <v>74</v>
      </c>
      <c r="O94" s="6" t="s">
        <v>19</v>
      </c>
      <c r="P94" s="178">
        <v>0.41971399999999998</v>
      </c>
      <c r="T94" s="6" t="s">
        <v>74</v>
      </c>
      <c r="U94" s="6" t="s">
        <v>19</v>
      </c>
      <c r="V94" s="178">
        <v>0.42722599999999999</v>
      </c>
    </row>
    <row r="95" spans="2:22" x14ac:dyDescent="0.25">
      <c r="B95" s="6" t="s">
        <v>75</v>
      </c>
      <c r="C95" s="6" t="s">
        <v>19</v>
      </c>
      <c r="D95" s="178">
        <f t="shared" si="4"/>
        <v>0.30092000000000002</v>
      </c>
      <c r="H95" s="6" t="s">
        <v>75</v>
      </c>
      <c r="I95" s="6" t="s">
        <v>19</v>
      </c>
      <c r="J95" s="178">
        <v>0.31101499999999999</v>
      </c>
      <c r="N95" s="6" t="s">
        <v>75</v>
      </c>
      <c r="O95" s="6" t="s">
        <v>19</v>
      </c>
      <c r="P95" s="178">
        <v>0.30780400000000002</v>
      </c>
      <c r="T95" s="6" t="s">
        <v>75</v>
      </c>
      <c r="U95" s="6" t="s">
        <v>19</v>
      </c>
      <c r="V95" s="178">
        <v>0.29710799999999998</v>
      </c>
    </row>
    <row r="96" spans="2:22" x14ac:dyDescent="0.25">
      <c r="B96" s="6" t="s">
        <v>76</v>
      </c>
      <c r="C96" s="6" t="s">
        <v>19</v>
      </c>
      <c r="D96" s="178">
        <f t="shared" si="4"/>
        <v>0.72582500000000005</v>
      </c>
      <c r="H96" s="6" t="s">
        <v>76</v>
      </c>
      <c r="I96" s="6" t="s">
        <v>19</v>
      </c>
      <c r="J96" s="178">
        <v>0.727294</v>
      </c>
      <c r="N96" s="6" t="s">
        <v>76</v>
      </c>
      <c r="O96" s="6" t="s">
        <v>19</v>
      </c>
      <c r="P96" s="178">
        <v>0.727518</v>
      </c>
      <c r="T96" s="6" t="s">
        <v>76</v>
      </c>
      <c r="U96" s="6" t="s">
        <v>19</v>
      </c>
      <c r="V96" s="178">
        <v>0.724333</v>
      </c>
    </row>
    <row r="97" spans="2:23" x14ac:dyDescent="0.25">
      <c r="B97" s="6" t="s">
        <v>77</v>
      </c>
      <c r="C97" s="6" t="s">
        <v>19</v>
      </c>
      <c r="D97" s="178">
        <f t="shared" si="4"/>
        <v>0.81082399999999999</v>
      </c>
      <c r="H97" s="6" t="s">
        <v>77</v>
      </c>
      <c r="I97" s="6" t="s">
        <v>19</v>
      </c>
      <c r="J97" s="178">
        <v>0.81450999999999996</v>
      </c>
      <c r="N97" s="6" t="s">
        <v>77</v>
      </c>
      <c r="O97" s="6" t="s">
        <v>19</v>
      </c>
      <c r="P97" s="178">
        <v>0.81084199999999995</v>
      </c>
      <c r="T97" s="6" t="s">
        <v>77</v>
      </c>
      <c r="U97" s="6" t="s">
        <v>19</v>
      </c>
      <c r="V97" s="178">
        <v>0.81231100000000001</v>
      </c>
    </row>
    <row r="98" spans="2:23" x14ac:dyDescent="0.25">
      <c r="B98" s="6" t="s">
        <v>78</v>
      </c>
      <c r="C98" s="6" t="s">
        <v>19</v>
      </c>
      <c r="D98" s="178">
        <f t="shared" si="4"/>
        <v>0.24951599999999999</v>
      </c>
      <c r="H98" s="6" t="s">
        <v>78</v>
      </c>
      <c r="I98" s="6" t="s">
        <v>19</v>
      </c>
      <c r="J98" s="178">
        <v>0.25050800000000001</v>
      </c>
      <c r="N98" s="6" t="s">
        <v>78</v>
      </c>
      <c r="O98" s="6" t="s">
        <v>19</v>
      </c>
      <c r="P98" s="178">
        <v>0.249505</v>
      </c>
      <c r="T98" s="6" t="s">
        <v>78</v>
      </c>
      <c r="U98" s="6" t="s">
        <v>19</v>
      </c>
      <c r="V98" s="178">
        <v>0.25102999999999998</v>
      </c>
    </row>
    <row r="99" spans="2:23" x14ac:dyDescent="0.25">
      <c r="B99" s="6" t="s">
        <v>79</v>
      </c>
      <c r="C99" s="6" t="s">
        <v>19</v>
      </c>
      <c r="D99" s="178">
        <f t="shared" ref="D99:D130" si="5">IFERROR(VLOOKUP(B99,raw_2,5,FALSE),0)</f>
        <v>0.77963099999999996</v>
      </c>
      <c r="H99" s="6" t="s">
        <v>79</v>
      </c>
      <c r="I99" s="6" t="s">
        <v>19</v>
      </c>
      <c r="J99" s="178">
        <v>0.784636</v>
      </c>
      <c r="N99" s="6" t="s">
        <v>79</v>
      </c>
      <c r="O99" s="6" t="s">
        <v>19</v>
      </c>
      <c r="P99" s="178">
        <v>0.78897899999999999</v>
      </c>
      <c r="T99" s="6" t="s">
        <v>79</v>
      </c>
      <c r="U99" s="6" t="s">
        <v>19</v>
      </c>
      <c r="V99" s="178">
        <v>0.79057599999999995</v>
      </c>
    </row>
    <row r="100" spans="2:23" x14ac:dyDescent="0.25">
      <c r="B100" s="6" t="s">
        <v>80</v>
      </c>
      <c r="C100" s="6" t="s">
        <v>19</v>
      </c>
      <c r="D100" s="178">
        <f t="shared" si="5"/>
        <v>0.87533300000000003</v>
      </c>
      <c r="H100" s="6" t="s">
        <v>80</v>
      </c>
      <c r="I100" s="6" t="s">
        <v>19</v>
      </c>
      <c r="J100" s="178">
        <v>0.88048000000000004</v>
      </c>
      <c r="N100" s="6" t="s">
        <v>80</v>
      </c>
      <c r="O100" s="6" t="s">
        <v>19</v>
      </c>
      <c r="P100" s="178">
        <v>0.87511499999999998</v>
      </c>
      <c r="T100" s="6" t="s">
        <v>80</v>
      </c>
      <c r="U100" s="6" t="s">
        <v>19</v>
      </c>
      <c r="V100" s="178">
        <v>0.87509999999999999</v>
      </c>
    </row>
    <row r="101" spans="2:23" x14ac:dyDescent="0.25">
      <c r="B101" s="6" t="s">
        <v>81</v>
      </c>
      <c r="C101" s="6" t="s">
        <v>19</v>
      </c>
      <c r="D101" s="178">
        <f t="shared" si="5"/>
        <v>1.584395</v>
      </c>
      <c r="H101" s="6" t="s">
        <v>81</v>
      </c>
      <c r="I101" s="6" t="s">
        <v>19</v>
      </c>
      <c r="J101" s="178">
        <v>1.5507789999999999</v>
      </c>
      <c r="N101" s="6" t="s">
        <v>81</v>
      </c>
      <c r="O101" s="6" t="s">
        <v>19</v>
      </c>
      <c r="P101" s="178">
        <v>1.49291</v>
      </c>
      <c r="T101" s="6" t="s">
        <v>81</v>
      </c>
      <c r="U101" s="6" t="s">
        <v>19</v>
      </c>
      <c r="V101" s="178">
        <v>1.4967140000000001</v>
      </c>
    </row>
    <row r="102" spans="2:23" x14ac:dyDescent="0.25">
      <c r="B102" s="6" t="s">
        <v>185</v>
      </c>
      <c r="C102" s="6" t="s">
        <v>19</v>
      </c>
      <c r="D102" s="178">
        <f t="shared" si="5"/>
        <v>1.190329</v>
      </c>
      <c r="H102" s="6" t="s">
        <v>185</v>
      </c>
      <c r="I102" s="6" t="s">
        <v>19</v>
      </c>
      <c r="J102" s="178">
        <v>1.193379</v>
      </c>
      <c r="N102" s="6" t="s">
        <v>185</v>
      </c>
      <c r="O102" s="6" t="s">
        <v>19</v>
      </c>
      <c r="P102" s="178">
        <v>1.230399</v>
      </c>
      <c r="T102" s="6" t="s">
        <v>185</v>
      </c>
      <c r="U102" s="6" t="s">
        <v>19</v>
      </c>
      <c r="V102" s="178">
        <v>1.281029</v>
      </c>
    </row>
    <row r="103" spans="2:23" x14ac:dyDescent="0.25">
      <c r="B103" s="6" t="s">
        <v>186</v>
      </c>
      <c r="C103" s="6" t="s">
        <v>19</v>
      </c>
      <c r="D103" s="178">
        <f t="shared" si="5"/>
        <v>0.4844</v>
      </c>
      <c r="H103" s="6" t="s">
        <v>186</v>
      </c>
      <c r="I103" s="6" t="s">
        <v>19</v>
      </c>
      <c r="J103" s="178">
        <v>0.48295100000000002</v>
      </c>
      <c r="N103" s="6" t="s">
        <v>186</v>
      </c>
      <c r="O103" s="6" t="s">
        <v>19</v>
      </c>
      <c r="P103" s="178">
        <v>0.48206300000000002</v>
      </c>
      <c r="T103" s="6" t="s">
        <v>186</v>
      </c>
      <c r="U103" s="6" t="s">
        <v>19</v>
      </c>
      <c r="V103" s="178">
        <v>0.485537</v>
      </c>
    </row>
    <row r="104" spans="2:23" x14ac:dyDescent="0.25">
      <c r="B104" s="6" t="s">
        <v>187</v>
      </c>
      <c r="C104" s="6" t="s">
        <v>19</v>
      </c>
      <c r="D104" s="178">
        <f t="shared" si="5"/>
        <v>0.94031699999999996</v>
      </c>
      <c r="H104" s="6" t="s">
        <v>187</v>
      </c>
      <c r="I104" s="6" t="s">
        <v>19</v>
      </c>
      <c r="J104" s="178">
        <v>0.94777699999999998</v>
      </c>
      <c r="N104" s="6" t="s">
        <v>187</v>
      </c>
      <c r="O104" s="6" t="s">
        <v>19</v>
      </c>
      <c r="P104" s="178">
        <v>0.94229300000000005</v>
      </c>
      <c r="T104" s="6" t="s">
        <v>187</v>
      </c>
      <c r="U104" s="6" t="s">
        <v>19</v>
      </c>
      <c r="V104" s="178">
        <v>0.93262299999999998</v>
      </c>
    </row>
    <row r="105" spans="2:23" x14ac:dyDescent="0.25">
      <c r="B105" s="6" t="s">
        <v>188</v>
      </c>
      <c r="C105" s="6" t="s">
        <v>19</v>
      </c>
      <c r="D105" s="178">
        <f t="shared" si="5"/>
        <v>0.67976700000000001</v>
      </c>
      <c r="H105" s="6" t="s">
        <v>188</v>
      </c>
      <c r="I105" s="6" t="s">
        <v>19</v>
      </c>
      <c r="J105" s="178">
        <v>0.68360200000000004</v>
      </c>
      <c r="N105" s="6" t="s">
        <v>188</v>
      </c>
      <c r="O105" s="6" t="s">
        <v>19</v>
      </c>
      <c r="P105" s="178">
        <v>0.67252400000000001</v>
      </c>
      <c r="T105" s="6" t="s">
        <v>188</v>
      </c>
      <c r="U105" s="6" t="s">
        <v>19</v>
      </c>
      <c r="V105" s="178">
        <v>0.67058200000000001</v>
      </c>
    </row>
    <row r="106" spans="2:23" x14ac:dyDescent="0.25">
      <c r="B106" s="6" t="s">
        <v>189</v>
      </c>
      <c r="C106" s="6" t="s">
        <v>19</v>
      </c>
      <c r="D106" s="178">
        <f t="shared" si="5"/>
        <v>1.6200840000000001</v>
      </c>
      <c r="H106" s="6" t="s">
        <v>189</v>
      </c>
      <c r="I106" s="6" t="s">
        <v>19</v>
      </c>
      <c r="J106" s="178">
        <v>1.6313789999999999</v>
      </c>
      <c r="N106" s="6" t="s">
        <v>189</v>
      </c>
      <c r="O106" s="6" t="s">
        <v>19</v>
      </c>
      <c r="P106" s="178">
        <v>1.614816</v>
      </c>
      <c r="T106" s="6" t="s">
        <v>189</v>
      </c>
      <c r="U106" s="6" t="s">
        <v>19</v>
      </c>
      <c r="V106" s="178">
        <v>1.603205</v>
      </c>
    </row>
    <row r="107" spans="2:23" x14ac:dyDescent="0.25">
      <c r="B107" s="6" t="s">
        <v>82</v>
      </c>
      <c r="C107" s="6" t="s">
        <v>83</v>
      </c>
      <c r="D107" s="184">
        <f t="shared" si="5"/>
        <v>150</v>
      </c>
      <c r="E107" s="184"/>
      <c r="H107" s="6" t="s">
        <v>82</v>
      </c>
      <c r="I107" s="6" t="s">
        <v>83</v>
      </c>
      <c r="J107" s="184">
        <v>150</v>
      </c>
      <c r="K107" s="184"/>
      <c r="N107" s="6" t="s">
        <v>82</v>
      </c>
      <c r="O107" s="6" t="s">
        <v>83</v>
      </c>
      <c r="P107" s="184">
        <v>150</v>
      </c>
      <c r="Q107" s="184"/>
      <c r="T107" s="6" t="s">
        <v>82</v>
      </c>
      <c r="U107" s="6" t="s">
        <v>83</v>
      </c>
      <c r="V107" s="184">
        <v>150</v>
      </c>
      <c r="W107" s="184"/>
    </row>
    <row r="108" spans="2:23" x14ac:dyDescent="0.25">
      <c r="B108" s="6" t="s">
        <v>84</v>
      </c>
      <c r="C108" s="6" t="s">
        <v>83</v>
      </c>
      <c r="D108" s="184">
        <f t="shared" si="5"/>
        <v>120.8</v>
      </c>
      <c r="E108" s="184"/>
      <c r="H108" s="6" t="s">
        <v>84</v>
      </c>
      <c r="I108" s="6" t="s">
        <v>83</v>
      </c>
      <c r="J108" s="184">
        <v>120.8</v>
      </c>
      <c r="K108" s="184"/>
      <c r="N108" s="6" t="s">
        <v>84</v>
      </c>
      <c r="O108" s="6" t="s">
        <v>83</v>
      </c>
      <c r="P108" s="184">
        <v>120.8</v>
      </c>
      <c r="Q108" s="184"/>
      <c r="T108" s="6" t="s">
        <v>84</v>
      </c>
      <c r="U108" s="6" t="s">
        <v>83</v>
      </c>
      <c r="V108" s="184">
        <v>120.8</v>
      </c>
      <c r="W108" s="184"/>
    </row>
    <row r="109" spans="2:23" x14ac:dyDescent="0.25">
      <c r="B109" s="6" t="s">
        <v>85</v>
      </c>
      <c r="C109" s="6" t="s">
        <v>83</v>
      </c>
      <c r="D109" s="184">
        <f t="shared" si="5"/>
        <v>2310</v>
      </c>
      <c r="E109" s="184"/>
      <c r="H109" s="6" t="s">
        <v>85</v>
      </c>
      <c r="I109" s="6" t="s">
        <v>83</v>
      </c>
      <c r="J109" s="184">
        <v>2310</v>
      </c>
      <c r="K109" s="184"/>
      <c r="N109" s="6" t="s">
        <v>85</v>
      </c>
      <c r="O109" s="6" t="s">
        <v>83</v>
      </c>
      <c r="P109" s="184">
        <v>2310</v>
      </c>
      <c r="Q109" s="184"/>
      <c r="T109" s="6" t="s">
        <v>85</v>
      </c>
      <c r="U109" s="6" t="s">
        <v>83</v>
      </c>
      <c r="V109" s="184">
        <v>2310</v>
      </c>
      <c r="W109" s="184"/>
    </row>
    <row r="110" spans="2:23" x14ac:dyDescent="0.25">
      <c r="B110" s="6" t="s">
        <v>86</v>
      </c>
      <c r="C110" s="6" t="s">
        <v>83</v>
      </c>
      <c r="D110" s="184">
        <f t="shared" si="5"/>
        <v>40</v>
      </c>
      <c r="E110" s="184"/>
      <c r="H110" s="6" t="s">
        <v>86</v>
      </c>
      <c r="I110" s="6" t="s">
        <v>83</v>
      </c>
      <c r="J110" s="184">
        <v>40</v>
      </c>
      <c r="K110" s="184"/>
      <c r="N110" s="6" t="s">
        <v>86</v>
      </c>
      <c r="O110" s="6" t="s">
        <v>83</v>
      </c>
      <c r="P110" s="184">
        <v>40</v>
      </c>
      <c r="Q110" s="184"/>
      <c r="T110" s="6" t="s">
        <v>86</v>
      </c>
      <c r="U110" s="6" t="s">
        <v>83</v>
      </c>
      <c r="V110" s="184">
        <v>40</v>
      </c>
      <c r="W110" s="184"/>
    </row>
    <row r="111" spans="2:23" x14ac:dyDescent="0.25">
      <c r="B111" s="15" t="s">
        <v>87</v>
      </c>
      <c r="C111" s="15" t="s">
        <v>83</v>
      </c>
      <c r="D111" s="179">
        <f t="shared" si="5"/>
        <v>0.3</v>
      </c>
      <c r="H111" s="15" t="s">
        <v>87</v>
      </c>
      <c r="I111" s="15" t="s">
        <v>83</v>
      </c>
      <c r="J111" s="179">
        <v>0.3</v>
      </c>
      <c r="N111" s="15" t="s">
        <v>87</v>
      </c>
      <c r="O111" s="15" t="s">
        <v>83</v>
      </c>
      <c r="P111" s="179">
        <v>0.3</v>
      </c>
      <c r="T111" s="15" t="s">
        <v>87</v>
      </c>
      <c r="U111" s="15" t="s">
        <v>83</v>
      </c>
      <c r="V111" s="179">
        <v>0.3</v>
      </c>
    </row>
    <row r="112" spans="2:23" x14ac:dyDescent="0.25">
      <c r="B112" s="6" t="s">
        <v>88</v>
      </c>
      <c r="C112" s="6" t="s">
        <v>83</v>
      </c>
      <c r="D112" s="184">
        <f t="shared" si="5"/>
        <v>1</v>
      </c>
      <c r="E112" s="184"/>
      <c r="H112" s="6" t="s">
        <v>88</v>
      </c>
      <c r="I112" s="6" t="s">
        <v>83</v>
      </c>
      <c r="J112" s="184">
        <v>1</v>
      </c>
      <c r="K112" s="184"/>
      <c r="N112" s="6" t="s">
        <v>88</v>
      </c>
      <c r="O112" s="6" t="s">
        <v>83</v>
      </c>
      <c r="P112" s="184">
        <v>1</v>
      </c>
      <c r="Q112" s="184"/>
      <c r="T112" s="6" t="s">
        <v>88</v>
      </c>
      <c r="U112" s="6" t="s">
        <v>83</v>
      </c>
      <c r="V112" s="184">
        <v>1</v>
      </c>
      <c r="W112" s="184"/>
    </row>
    <row r="113" spans="2:23" hidden="1" x14ac:dyDescent="0.25">
      <c r="B113" s="6" t="s">
        <v>89</v>
      </c>
      <c r="C113" s="6" t="s">
        <v>90</v>
      </c>
      <c r="D113" s="185">
        <f t="shared" si="5"/>
        <v>12000</v>
      </c>
      <c r="E113" s="185"/>
      <c r="H113" s="6" t="s">
        <v>89</v>
      </c>
      <c r="I113" s="6" t="s">
        <v>90</v>
      </c>
      <c r="J113" s="185">
        <v>12000</v>
      </c>
      <c r="K113" s="185"/>
      <c r="N113" s="6" t="s">
        <v>89</v>
      </c>
      <c r="O113" s="6" t="s">
        <v>90</v>
      </c>
      <c r="P113" s="185">
        <v>12000</v>
      </c>
      <c r="Q113" s="185"/>
      <c r="T113" s="6" t="s">
        <v>89</v>
      </c>
      <c r="U113" s="6" t="s">
        <v>90</v>
      </c>
      <c r="V113" s="185">
        <v>12000</v>
      </c>
      <c r="W113" s="185"/>
    </row>
    <row r="114" spans="2:23" hidden="1" x14ac:dyDescent="0.25">
      <c r="B114" s="6" t="s">
        <v>91</v>
      </c>
      <c r="C114" s="6" t="s">
        <v>90</v>
      </c>
      <c r="D114" s="185">
        <f t="shared" si="5"/>
        <v>1500</v>
      </c>
      <c r="E114" s="185"/>
      <c r="H114" s="6" t="s">
        <v>91</v>
      </c>
      <c r="I114" s="6" t="s">
        <v>90</v>
      </c>
      <c r="J114" s="185">
        <v>1500</v>
      </c>
      <c r="K114" s="185"/>
      <c r="N114" s="6" t="s">
        <v>91</v>
      </c>
      <c r="O114" s="6" t="s">
        <v>90</v>
      </c>
      <c r="P114" s="185">
        <v>1500</v>
      </c>
      <c r="Q114" s="185"/>
      <c r="T114" s="6" t="s">
        <v>91</v>
      </c>
      <c r="U114" s="6" t="s">
        <v>90</v>
      </c>
      <c r="V114" s="185">
        <v>1500</v>
      </c>
      <c r="W114" s="185"/>
    </row>
    <row r="115" spans="2:23" hidden="1" x14ac:dyDescent="0.25">
      <c r="B115" s="6" t="s">
        <v>92</v>
      </c>
      <c r="C115" s="6" t="s">
        <v>90</v>
      </c>
      <c r="D115" s="185">
        <f t="shared" si="5"/>
        <v>70</v>
      </c>
      <c r="E115" s="185"/>
      <c r="H115" s="6" t="s">
        <v>92</v>
      </c>
      <c r="I115" s="6" t="s">
        <v>90</v>
      </c>
      <c r="J115" s="185">
        <v>70</v>
      </c>
      <c r="K115" s="185"/>
      <c r="N115" s="6" t="s">
        <v>92</v>
      </c>
      <c r="O115" s="6" t="s">
        <v>90</v>
      </c>
      <c r="P115" s="185">
        <v>70</v>
      </c>
      <c r="Q115" s="185"/>
      <c r="T115" s="6" t="s">
        <v>92</v>
      </c>
      <c r="U115" s="6" t="s">
        <v>90</v>
      </c>
      <c r="V115" s="185">
        <v>70</v>
      </c>
      <c r="W115" s="185"/>
    </row>
    <row r="116" spans="2:23" hidden="1" x14ac:dyDescent="0.25">
      <c r="B116" s="6" t="s">
        <v>93</v>
      </c>
      <c r="C116" s="6" t="s">
        <v>83</v>
      </c>
      <c r="D116" s="184">
        <f t="shared" si="5"/>
        <v>5</v>
      </c>
      <c r="E116" s="184"/>
      <c r="H116" s="6" t="s">
        <v>93</v>
      </c>
      <c r="I116" s="6" t="s">
        <v>83</v>
      </c>
      <c r="J116" s="184">
        <v>5</v>
      </c>
      <c r="K116" s="184"/>
      <c r="N116" s="6" t="s">
        <v>93</v>
      </c>
      <c r="O116" s="6" t="s">
        <v>83</v>
      </c>
      <c r="P116" s="184">
        <v>5</v>
      </c>
      <c r="Q116" s="184"/>
      <c r="T116" s="6" t="s">
        <v>93</v>
      </c>
      <c r="U116" s="6" t="s">
        <v>83</v>
      </c>
      <c r="V116" s="184">
        <v>5</v>
      </c>
      <c r="W116" s="184"/>
    </row>
    <row r="117" spans="2:23" hidden="1" x14ac:dyDescent="0.25">
      <c r="B117" s="6" t="s">
        <v>94</v>
      </c>
      <c r="C117" s="6" t="s">
        <v>83</v>
      </c>
      <c r="D117" s="178">
        <f t="shared" si="5"/>
        <v>2</v>
      </c>
      <c r="H117" s="6" t="s">
        <v>94</v>
      </c>
      <c r="I117" s="6" t="s">
        <v>83</v>
      </c>
      <c r="J117" s="178">
        <v>2</v>
      </c>
      <c r="N117" s="6" t="s">
        <v>94</v>
      </c>
      <c r="O117" s="6" t="s">
        <v>83</v>
      </c>
      <c r="P117" s="178">
        <v>2</v>
      </c>
      <c r="T117" s="6" t="s">
        <v>94</v>
      </c>
      <c r="U117" s="6" t="s">
        <v>83</v>
      </c>
      <c r="V117" s="178">
        <v>2</v>
      </c>
    </row>
    <row r="118" spans="2:23" hidden="1" x14ac:dyDescent="0.25">
      <c r="B118" s="6" t="s">
        <v>95</v>
      </c>
      <c r="C118" s="6" t="s">
        <v>83</v>
      </c>
      <c r="D118" s="178">
        <f t="shared" si="5"/>
        <v>8</v>
      </c>
      <c r="H118" s="6" t="s">
        <v>95</v>
      </c>
      <c r="I118" s="6" t="s">
        <v>83</v>
      </c>
      <c r="J118" s="178">
        <v>8</v>
      </c>
      <c r="N118" s="6" t="s">
        <v>95</v>
      </c>
      <c r="O118" s="6" t="s">
        <v>83</v>
      </c>
      <c r="P118" s="178">
        <v>8</v>
      </c>
      <c r="T118" s="6" t="s">
        <v>95</v>
      </c>
      <c r="U118" s="6" t="s">
        <v>83</v>
      </c>
      <c r="V118" s="178">
        <v>8</v>
      </c>
    </row>
    <row r="119" spans="2:23" hidden="1" x14ac:dyDescent="0.25">
      <c r="B119" s="6" t="s">
        <v>96</v>
      </c>
      <c r="C119" s="6" t="s">
        <v>83</v>
      </c>
      <c r="D119" s="178">
        <f t="shared" si="5"/>
        <v>40</v>
      </c>
      <c r="H119" s="6" t="s">
        <v>96</v>
      </c>
      <c r="I119" s="6" t="s">
        <v>83</v>
      </c>
      <c r="J119" s="178">
        <v>40</v>
      </c>
      <c r="N119" s="6" t="s">
        <v>96</v>
      </c>
      <c r="O119" s="6" t="s">
        <v>83</v>
      </c>
      <c r="P119" s="178">
        <v>40</v>
      </c>
      <c r="T119" s="6" t="s">
        <v>96</v>
      </c>
      <c r="U119" s="6" t="s">
        <v>83</v>
      </c>
      <c r="V119" s="178">
        <v>40</v>
      </c>
    </row>
    <row r="120" spans="2:23" hidden="1" x14ac:dyDescent="0.25">
      <c r="B120" s="6" t="s">
        <v>97</v>
      </c>
      <c r="C120" s="6" t="s">
        <v>83</v>
      </c>
      <c r="D120" s="178">
        <f t="shared" si="5"/>
        <v>480</v>
      </c>
      <c r="H120" s="6" t="s">
        <v>97</v>
      </c>
      <c r="I120" s="6" t="s">
        <v>83</v>
      </c>
      <c r="J120" s="178">
        <v>480</v>
      </c>
      <c r="N120" s="6" t="s">
        <v>97</v>
      </c>
      <c r="O120" s="6" t="s">
        <v>83</v>
      </c>
      <c r="P120" s="178">
        <v>480</v>
      </c>
      <c r="T120" s="6" t="s">
        <v>97</v>
      </c>
      <c r="U120" s="6" t="s">
        <v>83</v>
      </c>
      <c r="V120" s="178">
        <v>480</v>
      </c>
    </row>
    <row r="121" spans="2:23" hidden="1" x14ac:dyDescent="0.25">
      <c r="B121" s="6" t="s">
        <v>98</v>
      </c>
      <c r="C121" s="6" t="s">
        <v>83</v>
      </c>
      <c r="D121" s="178">
        <f t="shared" si="5"/>
        <v>24</v>
      </c>
      <c r="H121" s="6" t="s">
        <v>98</v>
      </c>
      <c r="I121" s="6" t="s">
        <v>83</v>
      </c>
      <c r="J121" s="178">
        <v>24</v>
      </c>
      <c r="N121" s="6" t="s">
        <v>98</v>
      </c>
      <c r="O121" s="6" t="s">
        <v>83</v>
      </c>
      <c r="P121" s="178">
        <v>24</v>
      </c>
      <c r="T121" s="6" t="s">
        <v>98</v>
      </c>
      <c r="U121" s="6" t="s">
        <v>83</v>
      </c>
      <c r="V121" s="178">
        <v>24</v>
      </c>
    </row>
    <row r="122" spans="2:23" hidden="1" x14ac:dyDescent="0.25">
      <c r="B122" s="6" t="s">
        <v>99</v>
      </c>
      <c r="C122" s="6" t="s">
        <v>83</v>
      </c>
      <c r="D122" s="178">
        <f t="shared" si="5"/>
        <v>10</v>
      </c>
      <c r="H122" s="6" t="s">
        <v>99</v>
      </c>
      <c r="I122" s="6" t="s">
        <v>83</v>
      </c>
      <c r="J122" s="178">
        <v>10</v>
      </c>
      <c r="N122" s="6" t="s">
        <v>99</v>
      </c>
      <c r="O122" s="6" t="s">
        <v>83</v>
      </c>
      <c r="P122" s="178">
        <v>10</v>
      </c>
      <c r="T122" s="6" t="s">
        <v>99</v>
      </c>
      <c r="U122" s="6" t="s">
        <v>83</v>
      </c>
      <c r="V122" s="178">
        <v>10</v>
      </c>
    </row>
    <row r="123" spans="2:23" hidden="1" x14ac:dyDescent="0.25">
      <c r="B123" s="6" t="s">
        <v>100</v>
      </c>
      <c r="C123" s="6" t="s">
        <v>83</v>
      </c>
      <c r="D123" s="178">
        <f t="shared" si="5"/>
        <v>0.2</v>
      </c>
      <c r="H123" s="6" t="s">
        <v>100</v>
      </c>
      <c r="I123" s="6" t="s">
        <v>83</v>
      </c>
      <c r="J123" s="178">
        <v>0.2</v>
      </c>
      <c r="N123" s="6" t="s">
        <v>100</v>
      </c>
      <c r="O123" s="6" t="s">
        <v>83</v>
      </c>
      <c r="P123" s="178">
        <v>0.2</v>
      </c>
      <c r="T123" s="6" t="s">
        <v>100</v>
      </c>
      <c r="U123" s="6" t="s">
        <v>83</v>
      </c>
      <c r="V123" s="178">
        <v>0.2</v>
      </c>
    </row>
    <row r="124" spans="2:23" hidden="1" x14ac:dyDescent="0.25">
      <c r="B124" s="6" t="s">
        <v>101</v>
      </c>
      <c r="C124" s="6" t="s">
        <v>83</v>
      </c>
      <c r="D124" s="178">
        <f t="shared" si="5"/>
        <v>1</v>
      </c>
      <c r="H124" s="6" t="s">
        <v>101</v>
      </c>
      <c r="I124" s="6" t="s">
        <v>83</v>
      </c>
      <c r="J124" s="178">
        <v>1</v>
      </c>
      <c r="N124" s="6" t="s">
        <v>101</v>
      </c>
      <c r="O124" s="6" t="s">
        <v>83</v>
      </c>
      <c r="P124" s="178">
        <v>1</v>
      </c>
      <c r="T124" s="6" t="s">
        <v>101</v>
      </c>
      <c r="U124" s="6" t="s">
        <v>83</v>
      </c>
      <c r="V124" s="178">
        <v>1</v>
      </c>
    </row>
    <row r="125" spans="2:23" hidden="1" x14ac:dyDescent="0.25">
      <c r="B125" s="6" t="s">
        <v>102</v>
      </c>
      <c r="C125" s="6" t="s">
        <v>83</v>
      </c>
      <c r="D125" s="178">
        <f t="shared" si="5"/>
        <v>0.04</v>
      </c>
      <c r="H125" s="6" t="s">
        <v>102</v>
      </c>
      <c r="I125" s="6" t="s">
        <v>83</v>
      </c>
      <c r="J125" s="178">
        <v>0.04</v>
      </c>
      <c r="N125" s="6" t="s">
        <v>102</v>
      </c>
      <c r="O125" s="6" t="s">
        <v>83</v>
      </c>
      <c r="P125" s="178">
        <v>0.04</v>
      </c>
      <c r="T125" s="6" t="s">
        <v>102</v>
      </c>
      <c r="U125" s="6" t="s">
        <v>83</v>
      </c>
      <c r="V125" s="178">
        <v>0.04</v>
      </c>
    </row>
    <row r="126" spans="2:23" hidden="1" x14ac:dyDescent="0.25">
      <c r="B126" s="6" t="s">
        <v>103</v>
      </c>
      <c r="C126" s="6" t="s">
        <v>104</v>
      </c>
      <c r="D126" s="178">
        <f t="shared" si="5"/>
        <v>46.240951000000003</v>
      </c>
      <c r="H126" s="6" t="s">
        <v>103</v>
      </c>
      <c r="I126" s="6" t="s">
        <v>104</v>
      </c>
      <c r="J126" s="178">
        <v>45.920653000000001</v>
      </c>
      <c r="N126" s="6" t="s">
        <v>103</v>
      </c>
      <c r="O126" s="6" t="s">
        <v>104</v>
      </c>
      <c r="P126" s="178">
        <v>42.898209000000001</v>
      </c>
      <c r="T126" s="6" t="s">
        <v>103</v>
      </c>
      <c r="U126" s="6" t="s">
        <v>104</v>
      </c>
      <c r="V126" s="178">
        <v>43.921475000000001</v>
      </c>
    </row>
    <row r="127" spans="2:23" hidden="1" x14ac:dyDescent="0.25">
      <c r="B127" s="6" t="s">
        <v>105</v>
      </c>
      <c r="C127" s="6" t="s">
        <v>106</v>
      </c>
      <c r="D127" s="178">
        <f t="shared" si="5"/>
        <v>544.22067900000002</v>
      </c>
      <c r="H127" s="6" t="s">
        <v>105</v>
      </c>
      <c r="I127" s="6" t="s">
        <v>106</v>
      </c>
      <c r="J127" s="178">
        <v>537.00419199999999</v>
      </c>
      <c r="N127" s="6" t="s">
        <v>105</v>
      </c>
      <c r="O127" s="6" t="s">
        <v>106</v>
      </c>
      <c r="P127" s="178">
        <v>546.25315899999998</v>
      </c>
      <c r="T127" s="6" t="s">
        <v>105</v>
      </c>
      <c r="U127" s="6" t="s">
        <v>106</v>
      </c>
      <c r="V127" s="178">
        <v>559.04953899999998</v>
      </c>
    </row>
    <row r="128" spans="2:23" hidden="1" x14ac:dyDescent="0.25">
      <c r="B128" s="6" t="s">
        <v>107</v>
      </c>
      <c r="D128" s="178">
        <f t="shared" si="5"/>
        <v>4.9302419999999998</v>
      </c>
      <c r="H128" s="6" t="s">
        <v>107</v>
      </c>
      <c r="J128" s="178">
        <v>5.1985780000000004</v>
      </c>
      <c r="N128" s="6" t="s">
        <v>107</v>
      </c>
      <c r="P128" s="178">
        <v>5.3696020000000004</v>
      </c>
      <c r="T128" s="6" t="s">
        <v>107</v>
      </c>
      <c r="V128" s="178">
        <v>5.2949970000000004</v>
      </c>
    </row>
    <row r="129" spans="2:22" hidden="1" x14ac:dyDescent="0.25">
      <c r="B129" s="6" t="s">
        <v>203</v>
      </c>
      <c r="C129" s="6" t="s">
        <v>83</v>
      </c>
      <c r="D129" s="178">
        <f t="shared" si="5"/>
        <v>0</v>
      </c>
      <c r="H129" s="6" t="s">
        <v>203</v>
      </c>
      <c r="I129" s="6" t="s">
        <v>83</v>
      </c>
      <c r="J129" s="178">
        <v>0</v>
      </c>
      <c r="N129" s="6" t="s">
        <v>203</v>
      </c>
      <c r="O129" s="6" t="s">
        <v>83</v>
      </c>
      <c r="P129" s="178">
        <v>0</v>
      </c>
      <c r="T129" s="6" t="s">
        <v>203</v>
      </c>
      <c r="U129" s="6" t="s">
        <v>83</v>
      </c>
      <c r="V129" s="178">
        <v>0</v>
      </c>
    </row>
    <row r="130" spans="2:22" hidden="1" x14ac:dyDescent="0.25">
      <c r="B130" s="6" t="s">
        <v>204</v>
      </c>
      <c r="C130" s="6" t="s">
        <v>83</v>
      </c>
      <c r="D130" s="178">
        <f t="shared" si="5"/>
        <v>0</v>
      </c>
      <c r="H130" s="6" t="s">
        <v>204</v>
      </c>
      <c r="I130" s="6" t="s">
        <v>83</v>
      </c>
      <c r="J130" s="178">
        <v>0</v>
      </c>
      <c r="N130" s="6" t="s">
        <v>204</v>
      </c>
      <c r="O130" s="6" t="s">
        <v>83</v>
      </c>
      <c r="P130" s="178">
        <v>0</v>
      </c>
      <c r="T130" s="6" t="s">
        <v>204</v>
      </c>
      <c r="U130" s="6" t="s">
        <v>83</v>
      </c>
      <c r="V130" s="178">
        <v>0</v>
      </c>
    </row>
    <row r="131" spans="2:22" hidden="1" x14ac:dyDescent="0.25">
      <c r="B131" s="6" t="s">
        <v>205</v>
      </c>
      <c r="C131" s="6" t="s">
        <v>83</v>
      </c>
      <c r="D131" s="178">
        <f t="shared" ref="D131:D155" si="6">IFERROR(VLOOKUP(B131,raw_2,5,FALSE),0)</f>
        <v>0</v>
      </c>
      <c r="H131" s="6" t="s">
        <v>205</v>
      </c>
      <c r="I131" s="6" t="s">
        <v>83</v>
      </c>
      <c r="J131" s="178">
        <v>0</v>
      </c>
      <c r="N131" s="6" t="s">
        <v>205</v>
      </c>
      <c r="O131" s="6" t="s">
        <v>83</v>
      </c>
      <c r="P131" s="178">
        <v>0</v>
      </c>
      <c r="T131" s="6" t="s">
        <v>205</v>
      </c>
      <c r="U131" s="6" t="s">
        <v>83</v>
      </c>
      <c r="V131" s="178">
        <v>0</v>
      </c>
    </row>
    <row r="132" spans="2:22" hidden="1" x14ac:dyDescent="0.25">
      <c r="B132" s="6" t="s">
        <v>191</v>
      </c>
      <c r="C132" s="6" t="s">
        <v>83</v>
      </c>
      <c r="D132" s="178">
        <f t="shared" si="6"/>
        <v>0</v>
      </c>
      <c r="H132" s="6" t="s">
        <v>191</v>
      </c>
      <c r="I132" s="6" t="s">
        <v>83</v>
      </c>
      <c r="J132" s="178">
        <v>0</v>
      </c>
      <c r="N132" s="6" t="s">
        <v>191</v>
      </c>
      <c r="O132" s="6" t="s">
        <v>83</v>
      </c>
      <c r="P132" s="178">
        <v>0</v>
      </c>
      <c r="T132" s="6" t="s">
        <v>191</v>
      </c>
      <c r="U132" s="6" t="s">
        <v>83</v>
      </c>
      <c r="V132" s="178">
        <v>0</v>
      </c>
    </row>
    <row r="133" spans="2:22" hidden="1" x14ac:dyDescent="0.25">
      <c r="B133" s="6" t="s">
        <v>192</v>
      </c>
      <c r="C133" s="6" t="s">
        <v>83</v>
      </c>
      <c r="D133" s="178">
        <f t="shared" si="6"/>
        <v>0</v>
      </c>
      <c r="H133" s="6" t="s">
        <v>192</v>
      </c>
      <c r="I133" s="6" t="s">
        <v>83</v>
      </c>
      <c r="J133" s="178">
        <v>0</v>
      </c>
      <c r="N133" s="6" t="s">
        <v>192</v>
      </c>
      <c r="O133" s="6" t="s">
        <v>83</v>
      </c>
      <c r="P133" s="178">
        <v>0</v>
      </c>
      <c r="T133" s="6" t="s">
        <v>192</v>
      </c>
      <c r="U133" s="6" t="s">
        <v>83</v>
      </c>
      <c r="V133" s="178">
        <v>0</v>
      </c>
    </row>
    <row r="134" spans="2:22" hidden="1" x14ac:dyDescent="0.25">
      <c r="B134" s="6" t="s">
        <v>193</v>
      </c>
      <c r="C134" s="6" t="s">
        <v>83</v>
      </c>
      <c r="D134" s="178">
        <f t="shared" si="6"/>
        <v>0</v>
      </c>
      <c r="H134" s="6" t="s">
        <v>193</v>
      </c>
      <c r="I134" s="6" t="s">
        <v>83</v>
      </c>
      <c r="J134" s="178">
        <v>0</v>
      </c>
      <c r="N134" s="6" t="s">
        <v>193</v>
      </c>
      <c r="O134" s="6" t="s">
        <v>83</v>
      </c>
      <c r="P134" s="178">
        <v>0</v>
      </c>
      <c r="T134" s="6" t="s">
        <v>193</v>
      </c>
      <c r="U134" s="6" t="s">
        <v>83</v>
      </c>
      <c r="V134" s="178">
        <v>0</v>
      </c>
    </row>
    <row r="135" spans="2:22" hidden="1" x14ac:dyDescent="0.25">
      <c r="B135" s="6" t="s">
        <v>194</v>
      </c>
      <c r="C135" s="6" t="s">
        <v>83</v>
      </c>
      <c r="D135" s="178">
        <f t="shared" si="6"/>
        <v>0</v>
      </c>
      <c r="H135" s="6" t="s">
        <v>194</v>
      </c>
      <c r="I135" s="6" t="s">
        <v>83</v>
      </c>
      <c r="J135" s="178">
        <v>0</v>
      </c>
      <c r="N135" s="6" t="s">
        <v>194</v>
      </c>
      <c r="O135" s="6" t="s">
        <v>83</v>
      </c>
      <c r="P135" s="178">
        <v>0</v>
      </c>
      <c r="T135" s="6" t="s">
        <v>194</v>
      </c>
      <c r="U135" s="6" t="s">
        <v>83</v>
      </c>
      <c r="V135" s="178">
        <v>0</v>
      </c>
    </row>
    <row r="136" spans="2:22" hidden="1" x14ac:dyDescent="0.25">
      <c r="B136" s="6" t="s">
        <v>195</v>
      </c>
      <c r="C136" s="6" t="s">
        <v>83</v>
      </c>
      <c r="D136" s="178">
        <f t="shared" si="6"/>
        <v>0</v>
      </c>
      <c r="H136" s="6" t="s">
        <v>195</v>
      </c>
      <c r="I136" s="6" t="s">
        <v>83</v>
      </c>
      <c r="J136" s="178">
        <v>0</v>
      </c>
      <c r="N136" s="6" t="s">
        <v>195</v>
      </c>
      <c r="O136" s="6" t="s">
        <v>83</v>
      </c>
      <c r="P136" s="178">
        <v>0</v>
      </c>
      <c r="T136" s="6" t="s">
        <v>195</v>
      </c>
      <c r="U136" s="6" t="s">
        <v>83</v>
      </c>
      <c r="V136" s="178">
        <v>0</v>
      </c>
    </row>
    <row r="137" spans="2:22" hidden="1" x14ac:dyDescent="0.25">
      <c r="B137" s="6" t="s">
        <v>196</v>
      </c>
      <c r="C137" s="6" t="s">
        <v>83</v>
      </c>
      <c r="D137" s="178">
        <f t="shared" si="6"/>
        <v>0</v>
      </c>
      <c r="H137" s="6" t="s">
        <v>196</v>
      </c>
      <c r="I137" s="6" t="s">
        <v>83</v>
      </c>
      <c r="J137" s="178">
        <v>0</v>
      </c>
      <c r="N137" s="6" t="s">
        <v>196</v>
      </c>
      <c r="O137" s="6" t="s">
        <v>83</v>
      </c>
      <c r="P137" s="178">
        <v>0</v>
      </c>
      <c r="T137" s="6" t="s">
        <v>196</v>
      </c>
      <c r="U137" s="6" t="s">
        <v>83</v>
      </c>
      <c r="V137" s="178">
        <v>0</v>
      </c>
    </row>
    <row r="138" spans="2:22" hidden="1" x14ac:dyDescent="0.25">
      <c r="B138" s="6" t="s">
        <v>197</v>
      </c>
      <c r="C138" s="6" t="s">
        <v>83</v>
      </c>
      <c r="D138" s="178">
        <f t="shared" si="6"/>
        <v>0</v>
      </c>
      <c r="H138" s="6" t="s">
        <v>197</v>
      </c>
      <c r="I138" s="6" t="s">
        <v>83</v>
      </c>
      <c r="J138" s="178">
        <v>0</v>
      </c>
      <c r="N138" s="6" t="s">
        <v>197</v>
      </c>
      <c r="O138" s="6" t="s">
        <v>83</v>
      </c>
      <c r="P138" s="178">
        <v>0</v>
      </c>
      <c r="T138" s="6" t="s">
        <v>197</v>
      </c>
      <c r="U138" s="6" t="s">
        <v>83</v>
      </c>
      <c r="V138" s="178">
        <v>0</v>
      </c>
    </row>
    <row r="139" spans="2:22" hidden="1" x14ac:dyDescent="0.25">
      <c r="B139" s="6" t="s">
        <v>198</v>
      </c>
      <c r="C139" s="6" t="s">
        <v>83</v>
      </c>
      <c r="D139" s="178">
        <f t="shared" si="6"/>
        <v>0</v>
      </c>
      <c r="H139" s="6" t="s">
        <v>198</v>
      </c>
      <c r="I139" s="6" t="s">
        <v>83</v>
      </c>
      <c r="J139" s="178">
        <v>0</v>
      </c>
      <c r="N139" s="6" t="s">
        <v>198</v>
      </c>
      <c r="O139" s="6" t="s">
        <v>83</v>
      </c>
      <c r="P139" s="178">
        <v>0</v>
      </c>
      <c r="T139" s="6" t="s">
        <v>198</v>
      </c>
      <c r="U139" s="6" t="s">
        <v>83</v>
      </c>
      <c r="V139" s="178">
        <v>0</v>
      </c>
    </row>
    <row r="140" spans="2:22" hidden="1" x14ac:dyDescent="0.25">
      <c r="B140" s="6" t="s">
        <v>199</v>
      </c>
      <c r="C140" s="6" t="s">
        <v>83</v>
      </c>
      <c r="D140" s="178">
        <f t="shared" si="6"/>
        <v>0</v>
      </c>
      <c r="H140" s="6" t="s">
        <v>199</v>
      </c>
      <c r="I140" s="6" t="s">
        <v>83</v>
      </c>
      <c r="J140" s="178">
        <v>0</v>
      </c>
      <c r="N140" s="6" t="s">
        <v>199</v>
      </c>
      <c r="O140" s="6" t="s">
        <v>83</v>
      </c>
      <c r="P140" s="178">
        <v>0</v>
      </c>
      <c r="T140" s="6" t="s">
        <v>199</v>
      </c>
      <c r="U140" s="6" t="s">
        <v>83</v>
      </c>
      <c r="V140" s="178">
        <v>0</v>
      </c>
    </row>
    <row r="141" spans="2:22" hidden="1" x14ac:dyDescent="0.25">
      <c r="B141" s="6" t="s">
        <v>190</v>
      </c>
      <c r="C141" s="6" t="s">
        <v>206</v>
      </c>
      <c r="D141" s="178">
        <f t="shared" si="6"/>
        <v>0</v>
      </c>
      <c r="H141" s="6" t="s">
        <v>190</v>
      </c>
      <c r="I141" s="6" t="s">
        <v>206</v>
      </c>
      <c r="J141" s="178">
        <v>0</v>
      </c>
      <c r="N141" s="6" t="s">
        <v>190</v>
      </c>
      <c r="O141" s="6" t="s">
        <v>206</v>
      </c>
      <c r="P141" s="178">
        <v>0</v>
      </c>
      <c r="T141" s="6" t="s">
        <v>190</v>
      </c>
      <c r="U141" s="6" t="s">
        <v>206</v>
      </c>
      <c r="V141" s="178">
        <v>0</v>
      </c>
    </row>
    <row r="142" spans="2:22" hidden="1" x14ac:dyDescent="0.25">
      <c r="B142" s="6" t="s">
        <v>207</v>
      </c>
      <c r="C142" s="6" t="s">
        <v>208</v>
      </c>
      <c r="D142" s="178">
        <f t="shared" si="6"/>
        <v>0</v>
      </c>
      <c r="H142" s="6" t="s">
        <v>207</v>
      </c>
      <c r="I142" s="6" t="s">
        <v>208</v>
      </c>
      <c r="J142" s="178">
        <v>0</v>
      </c>
      <c r="N142" s="6" t="s">
        <v>207</v>
      </c>
      <c r="O142" s="6" t="s">
        <v>208</v>
      </c>
      <c r="P142" s="178">
        <v>0</v>
      </c>
      <c r="T142" s="6" t="s">
        <v>207</v>
      </c>
      <c r="U142" s="6" t="s">
        <v>208</v>
      </c>
      <c r="V142" s="178">
        <v>0</v>
      </c>
    </row>
    <row r="143" spans="2:22" hidden="1" x14ac:dyDescent="0.25">
      <c r="B143" s="6" t="s">
        <v>209</v>
      </c>
      <c r="C143" s="6" t="s">
        <v>210</v>
      </c>
      <c r="D143" s="178">
        <f t="shared" si="6"/>
        <v>0</v>
      </c>
      <c r="H143" s="6" t="s">
        <v>209</v>
      </c>
      <c r="I143" s="6" t="s">
        <v>210</v>
      </c>
      <c r="J143" s="178">
        <v>0</v>
      </c>
      <c r="N143" s="6" t="s">
        <v>209</v>
      </c>
      <c r="O143" s="6" t="s">
        <v>210</v>
      </c>
      <c r="P143" s="178">
        <v>0</v>
      </c>
      <c r="T143" s="6" t="s">
        <v>209</v>
      </c>
      <c r="U143" s="6" t="s">
        <v>210</v>
      </c>
      <c r="V143" s="178">
        <v>0</v>
      </c>
    </row>
    <row r="144" spans="2:22" hidden="1" x14ac:dyDescent="0.25">
      <c r="B144" s="6" t="s">
        <v>211</v>
      </c>
      <c r="C144" s="6" t="s">
        <v>212</v>
      </c>
      <c r="D144" s="178">
        <f t="shared" si="6"/>
        <v>0</v>
      </c>
      <c r="H144" s="6" t="s">
        <v>211</v>
      </c>
      <c r="I144" s="6" t="s">
        <v>212</v>
      </c>
      <c r="J144" s="178">
        <v>0</v>
      </c>
      <c r="N144" s="6" t="s">
        <v>211</v>
      </c>
      <c r="O144" s="6" t="s">
        <v>212</v>
      </c>
      <c r="P144" s="178">
        <v>0</v>
      </c>
      <c r="T144" s="6" t="s">
        <v>211</v>
      </c>
      <c r="U144" s="6" t="s">
        <v>212</v>
      </c>
      <c r="V144" s="178">
        <v>0</v>
      </c>
    </row>
    <row r="145" spans="2:22" hidden="1" x14ac:dyDescent="0.25">
      <c r="B145" s="6" t="s">
        <v>213</v>
      </c>
      <c r="C145" s="6" t="s">
        <v>212</v>
      </c>
      <c r="D145" s="178">
        <f t="shared" si="6"/>
        <v>0</v>
      </c>
      <c r="H145" s="6" t="s">
        <v>213</v>
      </c>
      <c r="I145" s="6" t="s">
        <v>212</v>
      </c>
      <c r="J145" s="178">
        <v>0</v>
      </c>
      <c r="N145" s="6" t="s">
        <v>213</v>
      </c>
      <c r="O145" s="6" t="s">
        <v>212</v>
      </c>
      <c r="P145" s="178">
        <v>0</v>
      </c>
      <c r="T145" s="6" t="s">
        <v>213</v>
      </c>
      <c r="U145" s="6" t="s">
        <v>212</v>
      </c>
      <c r="V145" s="178">
        <v>0</v>
      </c>
    </row>
    <row r="146" spans="2:22" hidden="1" x14ac:dyDescent="0.25">
      <c r="B146" s="6" t="s">
        <v>214</v>
      </c>
      <c r="C146" s="6" t="s">
        <v>215</v>
      </c>
      <c r="D146" s="178">
        <f t="shared" si="6"/>
        <v>0</v>
      </c>
      <c r="H146" s="6" t="s">
        <v>214</v>
      </c>
      <c r="I146" s="6" t="s">
        <v>215</v>
      </c>
      <c r="J146" s="178">
        <v>0</v>
      </c>
      <c r="N146" s="6" t="s">
        <v>214</v>
      </c>
      <c r="O146" s="6" t="s">
        <v>215</v>
      </c>
      <c r="P146" s="178">
        <v>0</v>
      </c>
      <c r="T146" s="6" t="s">
        <v>214</v>
      </c>
      <c r="U146" s="6" t="s">
        <v>215</v>
      </c>
      <c r="V146" s="178">
        <v>0</v>
      </c>
    </row>
    <row r="147" spans="2:22" hidden="1" x14ac:dyDescent="0.25">
      <c r="B147" s="6" t="s">
        <v>216</v>
      </c>
      <c r="C147" s="6" t="s">
        <v>215</v>
      </c>
      <c r="D147" s="178">
        <f t="shared" si="6"/>
        <v>0</v>
      </c>
      <c r="H147" s="6" t="s">
        <v>216</v>
      </c>
      <c r="I147" s="6" t="s">
        <v>215</v>
      </c>
      <c r="J147" s="178">
        <v>0</v>
      </c>
      <c r="N147" s="6" t="s">
        <v>216</v>
      </c>
      <c r="O147" s="6" t="s">
        <v>215</v>
      </c>
      <c r="P147" s="178">
        <v>0</v>
      </c>
      <c r="T147" s="6" t="s">
        <v>216</v>
      </c>
      <c r="U147" s="6" t="s">
        <v>215</v>
      </c>
      <c r="V147" s="178">
        <v>0</v>
      </c>
    </row>
    <row r="148" spans="2:22" hidden="1" x14ac:dyDescent="0.25">
      <c r="B148" s="6" t="s">
        <v>217</v>
      </c>
      <c r="C148" s="6" t="s">
        <v>215</v>
      </c>
      <c r="D148" s="178">
        <f t="shared" si="6"/>
        <v>0</v>
      </c>
      <c r="H148" s="6" t="s">
        <v>217</v>
      </c>
      <c r="I148" s="6" t="s">
        <v>215</v>
      </c>
      <c r="J148" s="178">
        <v>0</v>
      </c>
      <c r="N148" s="6" t="s">
        <v>217</v>
      </c>
      <c r="O148" s="6" t="s">
        <v>215</v>
      </c>
      <c r="P148" s="178">
        <v>0</v>
      </c>
      <c r="T148" s="6" t="s">
        <v>217</v>
      </c>
      <c r="U148" s="6" t="s">
        <v>215</v>
      </c>
      <c r="V148" s="178">
        <v>0</v>
      </c>
    </row>
    <row r="149" spans="2:22" hidden="1" x14ac:dyDescent="0.25">
      <c r="B149" s="6" t="s">
        <v>218</v>
      </c>
      <c r="C149" s="6" t="s">
        <v>215</v>
      </c>
      <c r="D149" s="178">
        <f t="shared" si="6"/>
        <v>0</v>
      </c>
      <c r="H149" s="6" t="s">
        <v>218</v>
      </c>
      <c r="I149" s="6" t="s">
        <v>215</v>
      </c>
      <c r="J149" s="178">
        <v>0</v>
      </c>
      <c r="N149" s="6" t="s">
        <v>218</v>
      </c>
      <c r="O149" s="6" t="s">
        <v>215</v>
      </c>
      <c r="P149" s="178">
        <v>0</v>
      </c>
      <c r="T149" s="6" t="s">
        <v>218</v>
      </c>
      <c r="U149" s="6" t="s">
        <v>215</v>
      </c>
      <c r="V149" s="178">
        <v>0</v>
      </c>
    </row>
    <row r="150" spans="2:22" hidden="1" x14ac:dyDescent="0.25">
      <c r="B150" s="6" t="s">
        <v>219</v>
      </c>
      <c r="C150" s="6" t="s">
        <v>212</v>
      </c>
      <c r="D150" s="178">
        <f t="shared" si="6"/>
        <v>0</v>
      </c>
      <c r="H150" s="6" t="s">
        <v>219</v>
      </c>
      <c r="I150" s="6" t="s">
        <v>212</v>
      </c>
      <c r="J150" s="178">
        <v>1.1449720000000001</v>
      </c>
      <c r="N150" s="6" t="s">
        <v>219</v>
      </c>
      <c r="O150" s="6" t="s">
        <v>212</v>
      </c>
      <c r="P150" s="178">
        <v>1.1449720000000001</v>
      </c>
      <c r="T150" s="6" t="s">
        <v>219</v>
      </c>
      <c r="U150" s="6" t="s">
        <v>212</v>
      </c>
      <c r="V150" s="178">
        <v>0</v>
      </c>
    </row>
    <row r="151" spans="2:22" hidden="1" x14ac:dyDescent="0.25">
      <c r="B151" s="15" t="s">
        <v>220</v>
      </c>
      <c r="C151" s="15" t="s">
        <v>215</v>
      </c>
      <c r="D151" s="179">
        <f t="shared" si="6"/>
        <v>0</v>
      </c>
      <c r="H151" s="15" t="s">
        <v>220</v>
      </c>
      <c r="I151" s="15" t="s">
        <v>215</v>
      </c>
      <c r="J151" s="179">
        <v>0</v>
      </c>
      <c r="N151" s="15" t="s">
        <v>220</v>
      </c>
      <c r="O151" s="15" t="s">
        <v>215</v>
      </c>
      <c r="P151" s="179">
        <v>0</v>
      </c>
      <c r="T151" s="15" t="s">
        <v>220</v>
      </c>
      <c r="U151" s="15" t="s">
        <v>215</v>
      </c>
      <c r="V151" s="179">
        <v>1.1449720000000001</v>
      </c>
    </row>
    <row r="152" spans="2:22" hidden="1" x14ac:dyDescent="0.25">
      <c r="B152" s="6" t="s">
        <v>221</v>
      </c>
      <c r="C152" s="6" t="s">
        <v>215</v>
      </c>
      <c r="D152" s="178">
        <f t="shared" si="6"/>
        <v>0</v>
      </c>
      <c r="H152" s="6" t="s">
        <v>221</v>
      </c>
      <c r="I152" s="6" t="s">
        <v>215</v>
      </c>
      <c r="J152" s="178">
        <v>0</v>
      </c>
      <c r="N152" s="6" t="s">
        <v>221</v>
      </c>
      <c r="O152" s="6" t="s">
        <v>215</v>
      </c>
      <c r="P152" s="178">
        <v>0</v>
      </c>
      <c r="T152" s="6" t="s">
        <v>221</v>
      </c>
      <c r="U152" s="6" t="s">
        <v>215</v>
      </c>
      <c r="V152" s="178">
        <v>0</v>
      </c>
    </row>
    <row r="153" spans="2:22" hidden="1" x14ac:dyDescent="0.25">
      <c r="B153" s="6" t="s">
        <v>222</v>
      </c>
      <c r="C153" s="6" t="s">
        <v>215</v>
      </c>
      <c r="D153" s="178">
        <f t="shared" si="6"/>
        <v>0</v>
      </c>
      <c r="H153" s="6" t="s">
        <v>222</v>
      </c>
      <c r="I153" s="6" t="s">
        <v>215</v>
      </c>
      <c r="J153" s="178">
        <v>0</v>
      </c>
      <c r="N153" s="6" t="s">
        <v>222</v>
      </c>
      <c r="O153" s="6" t="s">
        <v>215</v>
      </c>
      <c r="P153" s="178">
        <v>0</v>
      </c>
      <c r="T153" s="6" t="s">
        <v>222</v>
      </c>
      <c r="U153" s="6" t="s">
        <v>215</v>
      </c>
      <c r="V153" s="178">
        <v>0</v>
      </c>
    </row>
    <row r="154" spans="2:22" hidden="1" x14ac:dyDescent="0.25">
      <c r="B154" s="6" t="s">
        <v>223</v>
      </c>
      <c r="C154" s="6" t="s">
        <v>215</v>
      </c>
      <c r="D154" s="178">
        <f t="shared" si="6"/>
        <v>0</v>
      </c>
      <c r="H154" s="6" t="s">
        <v>223</v>
      </c>
      <c r="I154" s="6" t="s">
        <v>215</v>
      </c>
      <c r="J154" s="178">
        <v>0</v>
      </c>
      <c r="N154" s="6" t="s">
        <v>223</v>
      </c>
      <c r="O154" s="6" t="s">
        <v>215</v>
      </c>
      <c r="P154" s="178">
        <v>0</v>
      </c>
      <c r="T154" s="6" t="s">
        <v>223</v>
      </c>
      <c r="U154" s="6" t="s">
        <v>215</v>
      </c>
      <c r="V154" s="178">
        <v>0</v>
      </c>
    </row>
    <row r="155" spans="2:22" hidden="1" x14ac:dyDescent="0.25">
      <c r="B155" s="6" t="s">
        <v>224</v>
      </c>
      <c r="C155" s="6" t="s">
        <v>212</v>
      </c>
      <c r="D155" s="178">
        <f t="shared" si="6"/>
        <v>0</v>
      </c>
      <c r="H155" s="6" t="s">
        <v>224</v>
      </c>
      <c r="I155" s="6" t="s">
        <v>212</v>
      </c>
      <c r="J155" s="178">
        <v>0</v>
      </c>
      <c r="N155" s="6" t="s">
        <v>224</v>
      </c>
      <c r="O155" s="6" t="s">
        <v>212</v>
      </c>
      <c r="P155" s="178">
        <v>0</v>
      </c>
      <c r="T155" s="6" t="s">
        <v>224</v>
      </c>
      <c r="U155" s="6" t="s">
        <v>212</v>
      </c>
      <c r="V155" s="178">
        <v>0</v>
      </c>
    </row>
    <row r="156" spans="2:22" hidden="1" x14ac:dyDescent="0.25"/>
    <row r="157" spans="2:22" hidden="1" x14ac:dyDescent="0.25"/>
    <row r="158" spans="2:22" hidden="1" x14ac:dyDescent="0.25"/>
    <row r="159" spans="2:22" hidden="1" x14ac:dyDescent="0.25"/>
    <row r="160" spans="2:22" hidden="1" x14ac:dyDescent="0.25"/>
    <row r="161" spans="2:22" hidden="1" x14ac:dyDescent="0.25"/>
    <row r="162" spans="2:22" hidden="1" x14ac:dyDescent="0.25"/>
    <row r="163" spans="2:22" hidden="1" x14ac:dyDescent="0.25"/>
    <row r="164" spans="2:22" hidden="1" x14ac:dyDescent="0.25"/>
    <row r="165" spans="2:22" ht="16.5" hidden="1" thickBot="1" x14ac:dyDescent="0.3">
      <c r="B165" s="16"/>
      <c r="C165" s="16"/>
      <c r="D165" s="181"/>
      <c r="H165" s="16"/>
      <c r="I165" s="16"/>
      <c r="J165" s="181"/>
      <c r="N165" s="16"/>
      <c r="O165" s="16"/>
      <c r="P165" s="181"/>
      <c r="T165" s="16"/>
      <c r="U165" s="16"/>
      <c r="V165" s="181"/>
    </row>
    <row r="166" spans="2:22" hidden="1" x14ac:dyDescent="0.25"/>
  </sheetData>
  <sheetProtection algorithmName="SHA-512" hashValue="xl9B+IVKrD5X90zKSOuhpbhriqzG5yl5cwRJe3fJPEXUvILrZrSoGznd2PEcOuMWmIrY6Mpig5XRXEQsV2r9ag==" saltValue="RH+70XFteDuq2dLy1dk//Q==" spinCount="100000" sheet="1" objects="1" scenarios="1"/>
  <sortState xmlns:xlrd2="http://schemas.microsoft.com/office/spreadsheetml/2017/richdata2" ref="A6:E28">
    <sortCondition descending="1" ref="C6:C28"/>
  </sortState>
  <mergeCells count="12">
    <mergeCell ref="A1:C1"/>
    <mergeCell ref="D2:E2"/>
    <mergeCell ref="D3:E3"/>
    <mergeCell ref="S1:U1"/>
    <mergeCell ref="V2:W2"/>
    <mergeCell ref="V3:W3"/>
    <mergeCell ref="M1:O1"/>
    <mergeCell ref="P2:Q2"/>
    <mergeCell ref="P3:Q3"/>
    <mergeCell ref="G1:I1"/>
    <mergeCell ref="J2:K2"/>
    <mergeCell ref="J3:K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58"/>
  <sheetViews>
    <sheetView zoomScale="90" zoomScaleNormal="90" workbookViewId="0">
      <pane xSplit="1" ySplit="4" topLeftCell="B5" activePane="bottomRight" state="frozen"/>
      <selection activeCell="D1" sqref="D1:D1048576"/>
      <selection pane="topRight" activeCell="D1" sqref="D1:D1048576"/>
      <selection pane="bottomLeft" activeCell="D1" sqref="D1:D1048576"/>
      <selection pane="bottomRight" activeCell="D1" sqref="D1:D1048576"/>
    </sheetView>
  </sheetViews>
  <sheetFormatPr defaultRowHeight="15.75" x14ac:dyDescent="0.25"/>
  <cols>
    <col min="1" max="1" width="10.77734375" style="5" customWidth="1"/>
    <col min="2" max="2" width="27.77734375" style="6" customWidth="1"/>
    <col min="3" max="3" width="12.77734375" style="6" customWidth="1"/>
    <col min="4" max="4" width="12.77734375" style="178" customWidth="1"/>
    <col min="5" max="5" width="14.77734375" style="178" customWidth="1"/>
    <col min="7" max="7" width="10.77734375" style="5" customWidth="1"/>
    <col min="8" max="8" width="27.77734375" style="6" customWidth="1"/>
    <col min="9" max="9" width="12.77734375" style="6" customWidth="1"/>
    <col min="10" max="10" width="12.77734375" style="178" customWidth="1"/>
    <col min="11" max="11" width="14.77734375" style="178" customWidth="1"/>
    <col min="13" max="13" width="10.77734375" style="5" customWidth="1"/>
    <col min="14" max="14" width="27.77734375" style="6" customWidth="1"/>
    <col min="15" max="15" width="12.77734375" style="6" customWidth="1"/>
    <col min="16" max="16" width="12.77734375" style="178" customWidth="1"/>
    <col min="17" max="17" width="14.77734375" style="178" customWidth="1"/>
  </cols>
  <sheetData>
    <row r="1" spans="1:17" ht="19.5" thickTop="1" thickBot="1" x14ac:dyDescent="0.3">
      <c r="A1" s="272" t="s">
        <v>265</v>
      </c>
      <c r="B1" s="273"/>
      <c r="C1" s="274"/>
      <c r="D1" s="193">
        <v>44483</v>
      </c>
      <c r="G1" s="272" t="s">
        <v>314</v>
      </c>
      <c r="H1" s="273"/>
      <c r="I1" s="274"/>
      <c r="J1" s="193">
        <v>44426</v>
      </c>
      <c r="M1" s="272" t="s">
        <v>314</v>
      </c>
      <c r="N1" s="273"/>
      <c r="O1" s="274"/>
      <c r="P1" s="193">
        <v>44326</v>
      </c>
    </row>
    <row r="2" spans="1:17" ht="17.25" thickTop="1" thickBot="1" x14ac:dyDescent="0.3">
      <c r="A2"/>
      <c r="B2" s="5"/>
      <c r="C2" s="38"/>
      <c r="D2" s="275" t="s">
        <v>228</v>
      </c>
      <c r="E2" s="276"/>
      <c r="G2"/>
      <c r="H2" s="5"/>
      <c r="I2" s="38"/>
      <c r="J2" s="275" t="s">
        <v>296</v>
      </c>
      <c r="K2" s="276"/>
      <c r="M2"/>
      <c r="N2" s="5"/>
      <c r="O2" s="38"/>
      <c r="P2" s="275" t="s">
        <v>296</v>
      </c>
      <c r="Q2" s="276"/>
    </row>
    <row r="3" spans="1:17" ht="16.5" thickBot="1" x14ac:dyDescent="0.3">
      <c r="A3"/>
      <c r="B3" s="7"/>
      <c r="C3" s="38"/>
      <c r="D3" s="277" t="s">
        <v>250</v>
      </c>
      <c r="E3" s="278"/>
      <c r="G3"/>
      <c r="H3" s="7"/>
      <c r="I3" s="38"/>
      <c r="J3" s="277" t="s">
        <v>297</v>
      </c>
      <c r="K3" s="278"/>
      <c r="M3"/>
      <c r="N3" s="7"/>
      <c r="O3" s="38"/>
      <c r="P3" s="277" t="s">
        <v>297</v>
      </c>
      <c r="Q3" s="278"/>
    </row>
    <row r="4" spans="1:17" ht="31.5" x14ac:dyDescent="0.25">
      <c r="A4" s="3" t="s">
        <v>0</v>
      </c>
      <c r="B4" s="3" t="s">
        <v>1</v>
      </c>
      <c r="C4" s="4" t="s">
        <v>2</v>
      </c>
      <c r="D4" s="4" t="s">
        <v>3</v>
      </c>
      <c r="E4" s="4" t="s">
        <v>4</v>
      </c>
      <c r="G4" s="3" t="s">
        <v>0</v>
      </c>
      <c r="H4" s="3" t="s">
        <v>1</v>
      </c>
      <c r="I4" s="4" t="s">
        <v>298</v>
      </c>
      <c r="J4" s="4" t="s">
        <v>299</v>
      </c>
      <c r="K4" s="4" t="s">
        <v>300</v>
      </c>
      <c r="M4" s="3" t="s">
        <v>0</v>
      </c>
      <c r="N4" s="3" t="s">
        <v>1</v>
      </c>
      <c r="O4" s="4" t="s">
        <v>298</v>
      </c>
      <c r="P4" s="4" t="s">
        <v>299</v>
      </c>
      <c r="Q4" s="4" t="s">
        <v>300</v>
      </c>
    </row>
    <row r="5" spans="1:17" x14ac:dyDescent="0.25">
      <c r="B5" s="6" t="s">
        <v>5</v>
      </c>
      <c r="C5" s="8"/>
      <c r="D5" s="9"/>
      <c r="E5" s="10"/>
      <c r="H5" s="6" t="s">
        <v>5</v>
      </c>
      <c r="I5" s="8"/>
      <c r="J5" s="9"/>
      <c r="K5" s="10"/>
      <c r="N5" s="6" t="s">
        <v>5</v>
      </c>
      <c r="O5" s="8"/>
      <c r="P5" s="9"/>
      <c r="Q5" s="10"/>
    </row>
    <row r="6" spans="1:17" x14ac:dyDescent="0.25">
      <c r="A6" s="5">
        <v>11132</v>
      </c>
      <c r="B6" s="6" t="s">
        <v>16</v>
      </c>
      <c r="C6" s="8">
        <f t="shared" ref="C6:C20" si="0">D6*10</f>
        <v>420.79999999999995</v>
      </c>
      <c r="D6" s="9">
        <f t="shared" ref="D6:D20" si="1">IFERROR(VLOOKUP(A6,raw_1,7,FALSE),0)</f>
        <v>42.08</v>
      </c>
      <c r="E6" s="10">
        <f t="shared" ref="E6:E20" si="2">IF(ISNA(VLOOKUP(B6,RMP_MFH,2,FALSE)),"N/A",VLOOKUP(B6,RMP_MFH,2,FALSE))</f>
        <v>404</v>
      </c>
      <c r="G6" s="5">
        <v>14320</v>
      </c>
      <c r="H6" s="6" t="s">
        <v>269</v>
      </c>
      <c r="I6" s="8">
        <v>582.07407999999998</v>
      </c>
      <c r="J6" s="9">
        <v>58.207408000000001</v>
      </c>
      <c r="K6" s="10">
        <v>418</v>
      </c>
      <c r="M6" s="5">
        <v>14320</v>
      </c>
      <c r="N6" s="6" t="s">
        <v>269</v>
      </c>
      <c r="O6" s="8">
        <v>486.77643</v>
      </c>
      <c r="P6" s="9">
        <v>48.677643000000003</v>
      </c>
      <c r="Q6" s="10">
        <v>425</v>
      </c>
    </row>
    <row r="7" spans="1:17" x14ac:dyDescent="0.25">
      <c r="A7" s="5">
        <v>42120</v>
      </c>
      <c r="B7" s="6" t="s">
        <v>272</v>
      </c>
      <c r="C7" s="8">
        <f t="shared" si="0"/>
        <v>241</v>
      </c>
      <c r="D7" s="9">
        <f t="shared" si="1"/>
        <v>24.1</v>
      </c>
      <c r="E7" s="10">
        <f t="shared" si="2"/>
        <v>618</v>
      </c>
      <c r="G7" s="5">
        <v>42120</v>
      </c>
      <c r="H7" s="6" t="s">
        <v>272</v>
      </c>
      <c r="I7" s="8">
        <v>222</v>
      </c>
      <c r="J7" s="9">
        <v>22.2</v>
      </c>
      <c r="K7" s="10">
        <v>555</v>
      </c>
      <c r="M7" s="5">
        <v>40004</v>
      </c>
      <c r="N7" s="6" t="s">
        <v>15</v>
      </c>
      <c r="O7" s="8">
        <v>200</v>
      </c>
      <c r="P7" s="9">
        <v>20</v>
      </c>
      <c r="Q7" s="10">
        <v>460</v>
      </c>
    </row>
    <row r="8" spans="1:17" x14ac:dyDescent="0.25">
      <c r="A8" s="5">
        <v>14320</v>
      </c>
      <c r="B8" s="6" t="s">
        <v>269</v>
      </c>
      <c r="C8" s="8">
        <f t="shared" si="0"/>
        <v>150</v>
      </c>
      <c r="D8" s="9">
        <f t="shared" si="1"/>
        <v>15</v>
      </c>
      <c r="E8" s="10">
        <f t="shared" si="2"/>
        <v>468</v>
      </c>
      <c r="G8" s="5">
        <v>20550</v>
      </c>
      <c r="H8" s="6" t="s">
        <v>109</v>
      </c>
      <c r="I8" s="8">
        <v>150</v>
      </c>
      <c r="J8" s="9">
        <v>15</v>
      </c>
      <c r="K8" s="10">
        <v>392</v>
      </c>
      <c r="M8" s="5">
        <v>42120</v>
      </c>
      <c r="N8" s="6" t="s">
        <v>272</v>
      </c>
      <c r="O8" s="8">
        <v>133</v>
      </c>
      <c r="P8" s="9">
        <v>13.3</v>
      </c>
      <c r="Q8" s="10">
        <v>580</v>
      </c>
    </row>
    <row r="9" spans="1:17" x14ac:dyDescent="0.25">
      <c r="A9" s="5">
        <v>20550</v>
      </c>
      <c r="B9" s="6" t="s">
        <v>109</v>
      </c>
      <c r="C9" s="8">
        <f t="shared" si="0"/>
        <v>150</v>
      </c>
      <c r="D9" s="9">
        <f t="shared" si="1"/>
        <v>15</v>
      </c>
      <c r="E9" s="10">
        <f t="shared" si="2"/>
        <v>450</v>
      </c>
      <c r="G9" s="5">
        <v>91000</v>
      </c>
      <c r="H9" s="6" t="s">
        <v>306</v>
      </c>
      <c r="I9" s="8">
        <v>13.025919999999999</v>
      </c>
      <c r="J9" s="9">
        <v>1.302592</v>
      </c>
      <c r="K9" s="10">
        <v>2200</v>
      </c>
      <c r="M9" s="5">
        <v>20550</v>
      </c>
      <c r="N9" s="6" t="s">
        <v>109</v>
      </c>
      <c r="O9" s="8">
        <v>132</v>
      </c>
      <c r="P9" s="9">
        <v>13.2</v>
      </c>
      <c r="Q9" s="10">
        <v>390</v>
      </c>
    </row>
    <row r="10" spans="1:17" x14ac:dyDescent="0.25">
      <c r="A10" s="5">
        <v>60080</v>
      </c>
      <c r="B10" s="6" t="s">
        <v>273</v>
      </c>
      <c r="C10" s="8">
        <f t="shared" si="0"/>
        <v>11.5</v>
      </c>
      <c r="D10" s="9">
        <f t="shared" si="1"/>
        <v>1.1499999999999999</v>
      </c>
      <c r="E10" s="10">
        <f t="shared" si="2"/>
        <v>132</v>
      </c>
      <c r="G10" s="5">
        <v>60080</v>
      </c>
      <c r="H10" s="6" t="s">
        <v>273</v>
      </c>
      <c r="I10" s="8">
        <v>11.5</v>
      </c>
      <c r="J10" s="9">
        <v>1.1499999999999999</v>
      </c>
      <c r="K10" s="10">
        <v>132</v>
      </c>
      <c r="M10" s="5">
        <v>91000</v>
      </c>
      <c r="N10" s="6" t="s">
        <v>306</v>
      </c>
      <c r="O10" s="8">
        <v>13.07357</v>
      </c>
      <c r="P10" s="9">
        <v>1.3073570000000001</v>
      </c>
      <c r="Q10" s="10">
        <v>2650</v>
      </c>
    </row>
    <row r="11" spans="1:17" x14ac:dyDescent="0.25">
      <c r="A11" s="5">
        <v>66069</v>
      </c>
      <c r="B11" s="6" t="s">
        <v>277</v>
      </c>
      <c r="C11" s="8">
        <f t="shared" si="0"/>
        <v>7</v>
      </c>
      <c r="D11" s="9">
        <f t="shared" si="1"/>
        <v>0.7</v>
      </c>
      <c r="E11" s="10">
        <f t="shared" si="2"/>
        <v>2610</v>
      </c>
      <c r="G11" s="5">
        <v>66069</v>
      </c>
      <c r="H11" s="6" t="s">
        <v>277</v>
      </c>
      <c r="I11" s="8">
        <v>7</v>
      </c>
      <c r="J11" s="9">
        <v>0.7</v>
      </c>
      <c r="K11" s="10">
        <v>2195</v>
      </c>
      <c r="M11" s="5">
        <v>60080</v>
      </c>
      <c r="N11" s="6" t="s">
        <v>273</v>
      </c>
      <c r="O11" s="8">
        <v>11.5</v>
      </c>
      <c r="P11" s="9">
        <v>1.1499999999999999</v>
      </c>
      <c r="Q11" s="10">
        <v>132</v>
      </c>
    </row>
    <row r="12" spans="1:17" x14ac:dyDescent="0.25">
      <c r="A12" s="5">
        <v>60220</v>
      </c>
      <c r="B12" s="6" t="s">
        <v>274</v>
      </c>
      <c r="C12" s="8">
        <f t="shared" si="0"/>
        <v>6</v>
      </c>
      <c r="D12" s="9">
        <f t="shared" si="1"/>
        <v>0.6</v>
      </c>
      <c r="E12" s="10">
        <f t="shared" si="2"/>
        <v>970</v>
      </c>
      <c r="G12" s="5">
        <v>60700</v>
      </c>
      <c r="H12" s="6" t="s">
        <v>275</v>
      </c>
      <c r="I12" s="8">
        <v>5</v>
      </c>
      <c r="J12" s="9">
        <v>0.5</v>
      </c>
      <c r="K12" s="10">
        <v>115</v>
      </c>
      <c r="M12" s="5">
        <v>66069</v>
      </c>
      <c r="N12" s="6" t="s">
        <v>277</v>
      </c>
      <c r="O12" s="8">
        <v>7</v>
      </c>
      <c r="P12" s="9">
        <v>0.7</v>
      </c>
      <c r="Q12" s="10">
        <v>2100</v>
      </c>
    </row>
    <row r="13" spans="1:17" x14ac:dyDescent="0.25">
      <c r="A13" s="5">
        <v>60700</v>
      </c>
      <c r="B13" s="6" t="s">
        <v>275</v>
      </c>
      <c r="C13" s="8">
        <f t="shared" si="0"/>
        <v>5</v>
      </c>
      <c r="D13" s="9">
        <f t="shared" si="1"/>
        <v>0.5</v>
      </c>
      <c r="E13" s="10">
        <f t="shared" si="2"/>
        <v>115</v>
      </c>
      <c r="G13" s="5">
        <v>60220</v>
      </c>
      <c r="H13" s="6" t="s">
        <v>274</v>
      </c>
      <c r="I13" s="8">
        <v>4.5</v>
      </c>
      <c r="J13" s="9">
        <v>0.45</v>
      </c>
      <c r="K13" s="10">
        <v>970</v>
      </c>
      <c r="M13" s="5">
        <v>60700</v>
      </c>
      <c r="N13" s="6" t="s">
        <v>275</v>
      </c>
      <c r="O13" s="8">
        <v>5</v>
      </c>
      <c r="P13" s="9">
        <v>0.5</v>
      </c>
      <c r="Q13" s="10">
        <v>115</v>
      </c>
    </row>
    <row r="14" spans="1:17" x14ac:dyDescent="0.25">
      <c r="A14" s="5">
        <v>91000</v>
      </c>
      <c r="B14" s="6" t="s">
        <v>306</v>
      </c>
      <c r="C14" s="8">
        <f t="shared" si="0"/>
        <v>3</v>
      </c>
      <c r="D14" s="9">
        <f t="shared" si="1"/>
        <v>0.3</v>
      </c>
      <c r="E14" s="10">
        <f t="shared" si="2"/>
        <v>2650</v>
      </c>
      <c r="G14" s="5">
        <v>922558</v>
      </c>
      <c r="H14" s="6" t="s">
        <v>283</v>
      </c>
      <c r="I14" s="8">
        <v>2</v>
      </c>
      <c r="J14" s="9">
        <v>0.2</v>
      </c>
      <c r="K14" s="10">
        <v>8350</v>
      </c>
      <c r="M14" s="5">
        <v>60220</v>
      </c>
      <c r="N14" s="6" t="s">
        <v>274</v>
      </c>
      <c r="O14" s="8">
        <v>5</v>
      </c>
      <c r="P14" s="9">
        <v>0.5</v>
      </c>
      <c r="Q14" s="10">
        <v>970</v>
      </c>
    </row>
    <row r="15" spans="1:17" x14ac:dyDescent="0.25">
      <c r="A15" s="5">
        <v>922558</v>
      </c>
      <c r="B15" s="6" t="s">
        <v>283</v>
      </c>
      <c r="C15" s="8">
        <f t="shared" si="0"/>
        <v>2</v>
      </c>
      <c r="D15" s="9">
        <f t="shared" si="1"/>
        <v>0.2</v>
      </c>
      <c r="E15" s="10">
        <f t="shared" si="2"/>
        <v>8350</v>
      </c>
      <c r="G15" s="5">
        <v>66300</v>
      </c>
      <c r="H15" s="6" t="s">
        <v>11</v>
      </c>
      <c r="I15" s="8">
        <v>1.25</v>
      </c>
      <c r="J15" s="9">
        <v>0.125</v>
      </c>
      <c r="K15" s="10">
        <v>13750</v>
      </c>
      <c r="M15" s="5">
        <v>922558</v>
      </c>
      <c r="N15" s="6" t="s">
        <v>283</v>
      </c>
      <c r="O15" s="8">
        <v>2</v>
      </c>
      <c r="P15" s="9">
        <v>0.2</v>
      </c>
      <c r="Q15" s="10">
        <v>8350</v>
      </c>
    </row>
    <row r="16" spans="1:17" x14ac:dyDescent="0.25">
      <c r="A16" s="5">
        <v>66100</v>
      </c>
      <c r="B16" s="6" t="s">
        <v>13</v>
      </c>
      <c r="C16" s="8">
        <f t="shared" si="0"/>
        <v>1.35</v>
      </c>
      <c r="D16" s="9">
        <f t="shared" si="1"/>
        <v>0.13500000000000001</v>
      </c>
      <c r="E16" s="10">
        <f t="shared" si="2"/>
        <v>4495</v>
      </c>
      <c r="G16" s="5">
        <v>66100</v>
      </c>
      <c r="H16" s="6" t="s">
        <v>13</v>
      </c>
      <c r="I16" s="8">
        <v>0.85000000000000009</v>
      </c>
      <c r="J16" s="9">
        <v>8.5000000000000006E-2</v>
      </c>
      <c r="K16" s="10">
        <v>4200</v>
      </c>
      <c r="M16" s="5">
        <v>66100</v>
      </c>
      <c r="N16" s="6" t="s">
        <v>13</v>
      </c>
      <c r="O16" s="8">
        <v>1.7999999999999998</v>
      </c>
      <c r="P16" s="9">
        <v>0.18</v>
      </c>
      <c r="Q16" s="10">
        <v>4525</v>
      </c>
    </row>
    <row r="17" spans="1:17" x14ac:dyDescent="0.25">
      <c r="A17" s="5">
        <v>66300</v>
      </c>
      <c r="B17" s="6" t="s">
        <v>11</v>
      </c>
      <c r="C17" s="8">
        <f t="shared" si="0"/>
        <v>1.3</v>
      </c>
      <c r="D17" s="9">
        <f t="shared" si="1"/>
        <v>0.13</v>
      </c>
      <c r="E17" s="10">
        <f t="shared" si="2"/>
        <v>4000</v>
      </c>
      <c r="G17" s="5">
        <v>61800</v>
      </c>
      <c r="H17" s="6" t="s">
        <v>116</v>
      </c>
      <c r="I17" s="8">
        <v>0.4</v>
      </c>
      <c r="J17" s="9">
        <v>0.04</v>
      </c>
      <c r="K17" s="10">
        <v>4225</v>
      </c>
      <c r="M17" s="5">
        <v>66300</v>
      </c>
      <c r="N17" s="6" t="s">
        <v>11</v>
      </c>
      <c r="O17" s="8">
        <v>1.7000000000000002</v>
      </c>
      <c r="P17" s="9">
        <v>0.17</v>
      </c>
      <c r="Q17" s="10">
        <v>3200</v>
      </c>
    </row>
    <row r="18" spans="1:17" x14ac:dyDescent="0.25">
      <c r="A18" s="5">
        <v>61800</v>
      </c>
      <c r="B18" s="6" t="s">
        <v>116</v>
      </c>
      <c r="C18" s="8">
        <f t="shared" si="0"/>
        <v>0.4</v>
      </c>
      <c r="D18" s="9">
        <f t="shared" si="1"/>
        <v>0.04</v>
      </c>
      <c r="E18" s="10">
        <f t="shared" si="2"/>
        <v>4225</v>
      </c>
      <c r="G18" s="5">
        <v>94179</v>
      </c>
      <c r="H18" s="6" t="s">
        <v>279</v>
      </c>
      <c r="I18" s="8">
        <v>0.3</v>
      </c>
      <c r="J18" s="9">
        <v>0.03</v>
      </c>
      <c r="K18" s="10">
        <v>3000</v>
      </c>
      <c r="M18" s="5">
        <v>66200</v>
      </c>
      <c r="N18" s="6" t="s">
        <v>14</v>
      </c>
      <c r="O18" s="8">
        <v>0.44999999999999996</v>
      </c>
      <c r="P18" s="9">
        <v>4.4999999999999998E-2</v>
      </c>
      <c r="Q18" s="10">
        <v>12750</v>
      </c>
    </row>
    <row r="19" spans="1:17" x14ac:dyDescent="0.25">
      <c r="A19" s="5">
        <v>66200</v>
      </c>
      <c r="B19" s="6" t="s">
        <v>14</v>
      </c>
      <c r="C19" s="8">
        <f t="shared" si="0"/>
        <v>0.35000000000000003</v>
      </c>
      <c r="D19" s="9">
        <f t="shared" si="1"/>
        <v>3.5000000000000003E-2</v>
      </c>
      <c r="E19" s="10">
        <f t="shared" si="2"/>
        <v>13250</v>
      </c>
      <c r="G19" s="5">
        <v>66200</v>
      </c>
      <c r="H19" s="6" t="s">
        <v>14</v>
      </c>
      <c r="I19" s="8">
        <v>0.1</v>
      </c>
      <c r="J19" s="9">
        <v>0.01</v>
      </c>
      <c r="K19" s="10">
        <v>3600</v>
      </c>
      <c r="M19" s="5">
        <v>61800</v>
      </c>
      <c r="N19" s="6" t="s">
        <v>116</v>
      </c>
      <c r="O19" s="8">
        <v>0.4</v>
      </c>
      <c r="P19" s="9">
        <v>0.04</v>
      </c>
      <c r="Q19" s="10">
        <v>4180</v>
      </c>
    </row>
    <row r="20" spans="1:17" x14ac:dyDescent="0.25">
      <c r="A20" s="5">
        <v>94179</v>
      </c>
      <c r="B20" s="6" t="s">
        <v>279</v>
      </c>
      <c r="C20" s="8">
        <f t="shared" si="0"/>
        <v>0.3</v>
      </c>
      <c r="D20" s="9">
        <f t="shared" si="1"/>
        <v>0.03</v>
      </c>
      <c r="E20" s="10">
        <f t="shared" si="2"/>
        <v>3000</v>
      </c>
      <c r="G20" s="5">
        <v>40004</v>
      </c>
      <c r="H20" s="6" t="s">
        <v>15</v>
      </c>
      <c r="I20" s="8">
        <v>0</v>
      </c>
      <c r="J20" s="9">
        <v>0</v>
      </c>
      <c r="K20" s="10">
        <v>470</v>
      </c>
      <c r="M20" s="5">
        <v>94179</v>
      </c>
      <c r="N20" s="6" t="s">
        <v>279</v>
      </c>
      <c r="O20" s="8">
        <v>0.3</v>
      </c>
      <c r="P20" s="9">
        <v>0.03</v>
      </c>
      <c r="Q20" s="10">
        <v>3000</v>
      </c>
    </row>
    <row r="21" spans="1:17" x14ac:dyDescent="0.25">
      <c r="C21" s="8"/>
      <c r="D21" s="9"/>
      <c r="E21" s="10"/>
      <c r="I21" s="8"/>
      <c r="J21" s="9"/>
      <c r="K21" s="10"/>
      <c r="O21" s="8"/>
      <c r="P21" s="9"/>
      <c r="Q21" s="10"/>
    </row>
    <row r="22" spans="1:17" hidden="1" x14ac:dyDescent="0.25">
      <c r="C22" s="8"/>
      <c r="D22" s="9"/>
      <c r="E22" s="10"/>
      <c r="I22" s="8"/>
      <c r="J22" s="9"/>
      <c r="K22" s="10"/>
      <c r="O22" s="8"/>
      <c r="P22" s="9"/>
      <c r="Q22" s="10"/>
    </row>
    <row r="23" spans="1:17" x14ac:dyDescent="0.25">
      <c r="C23" s="8"/>
      <c r="D23" s="9"/>
      <c r="E23" s="10"/>
      <c r="I23" s="8"/>
      <c r="J23" s="9"/>
      <c r="K23" s="10"/>
      <c r="O23" s="8"/>
      <c r="P23" s="9"/>
      <c r="Q23" s="10"/>
    </row>
    <row r="24" spans="1:17" ht="16.5" thickBot="1" x14ac:dyDescent="0.3">
      <c r="B24" s="11" t="s">
        <v>6</v>
      </c>
      <c r="C24" s="12">
        <f>SUM(C6:C22)</f>
        <v>999.99999999999989</v>
      </c>
      <c r="D24" s="12">
        <f>SUM(D6:D22)</f>
        <v>100.00000000000001</v>
      </c>
      <c r="E24" s="37" cm="1">
        <f t="array" ref="E24">SUMPRODUCT(C6:C23,E6:E23/1000)</f>
        <v>525.96995000000004</v>
      </c>
      <c r="H24" s="11" t="s">
        <v>6</v>
      </c>
      <c r="I24" s="12">
        <v>1000</v>
      </c>
      <c r="J24" s="12">
        <v>100.00000000000003</v>
      </c>
      <c r="K24" s="37">
        <v>516.20448943999997</v>
      </c>
      <c r="N24" s="11" t="s">
        <v>6</v>
      </c>
      <c r="O24" s="12">
        <v>1000</v>
      </c>
      <c r="P24" s="12">
        <v>100.00000000000003</v>
      </c>
      <c r="Q24" s="37">
        <v>522.38244324999994</v>
      </c>
    </row>
    <row r="25" spans="1:17" x14ac:dyDescent="0.25">
      <c r="C25"/>
      <c r="D25"/>
      <c r="E25" s="201">
        <f>E24-K24</f>
        <v>9.765460560000065</v>
      </c>
      <c r="I25"/>
      <c r="J25"/>
      <c r="K25" s="201">
        <v>-6.1779538099999627</v>
      </c>
      <c r="O25"/>
      <c r="P25"/>
      <c r="Q25" s="201"/>
    </row>
    <row r="26" spans="1:17" ht="16.5" thickBot="1" x14ac:dyDescent="0.3">
      <c r="C26"/>
      <c r="D26"/>
      <c r="E26" s="187"/>
      <c r="I26"/>
      <c r="J26"/>
      <c r="K26" s="187"/>
      <c r="O26"/>
      <c r="P26"/>
      <c r="Q26" s="187"/>
    </row>
    <row r="27" spans="1:17" x14ac:dyDescent="0.25">
      <c r="B27" s="14" t="s">
        <v>7</v>
      </c>
      <c r="C27" s="14" t="s">
        <v>8</v>
      </c>
      <c r="D27" s="14" t="s">
        <v>9</v>
      </c>
      <c r="E27"/>
      <c r="H27" s="14" t="s">
        <v>7</v>
      </c>
      <c r="I27" s="14" t="s">
        <v>8</v>
      </c>
      <c r="J27" s="14" t="s">
        <v>9</v>
      </c>
      <c r="K27"/>
      <c r="N27" s="14" t="s">
        <v>7</v>
      </c>
      <c r="O27" s="14" t="s">
        <v>8</v>
      </c>
      <c r="P27" s="14" t="s">
        <v>9</v>
      </c>
      <c r="Q27"/>
    </row>
    <row r="28" spans="1:17" x14ac:dyDescent="0.25">
      <c r="B28" s="6" t="s">
        <v>18</v>
      </c>
      <c r="C28" s="6" t="s">
        <v>19</v>
      </c>
      <c r="D28" s="178">
        <f t="shared" ref="D28:D59" si="3">IFERROR(VLOOKUP(B28,raw_2,6,FALSE),0)</f>
        <v>100</v>
      </c>
      <c r="H28" s="6" t="s">
        <v>18</v>
      </c>
      <c r="I28" s="6" t="s">
        <v>19</v>
      </c>
      <c r="J28" s="178">
        <v>100</v>
      </c>
      <c r="N28" s="6" t="s">
        <v>18</v>
      </c>
      <c r="O28" s="6" t="s">
        <v>19</v>
      </c>
      <c r="P28" s="178">
        <v>100</v>
      </c>
    </row>
    <row r="29" spans="1:17" x14ac:dyDescent="0.25">
      <c r="B29" s="6" t="s">
        <v>20</v>
      </c>
      <c r="C29" s="6" t="s">
        <v>19</v>
      </c>
      <c r="D29" s="178">
        <f t="shared" si="3"/>
        <v>88.248350000000002</v>
      </c>
      <c r="H29" s="6" t="s">
        <v>20</v>
      </c>
      <c r="I29" s="6" t="s">
        <v>19</v>
      </c>
      <c r="J29" s="178">
        <v>88.753456</v>
      </c>
      <c r="N29" s="6" t="s">
        <v>20</v>
      </c>
      <c r="O29" s="6" t="s">
        <v>19</v>
      </c>
      <c r="P29" s="178">
        <v>88.395668000000001</v>
      </c>
    </row>
    <row r="30" spans="1:17" x14ac:dyDescent="0.25">
      <c r="B30" s="6" t="s">
        <v>21</v>
      </c>
      <c r="C30" s="6" t="s">
        <v>19</v>
      </c>
      <c r="D30" s="178">
        <f t="shared" si="3"/>
        <v>21.457355</v>
      </c>
      <c r="H30" s="6" t="s">
        <v>21</v>
      </c>
      <c r="I30" s="6" t="s">
        <v>19</v>
      </c>
      <c r="J30" s="178">
        <v>22.574210999999998</v>
      </c>
      <c r="N30" s="6" t="s">
        <v>21</v>
      </c>
      <c r="O30" s="6" t="s">
        <v>19</v>
      </c>
      <c r="P30" s="178">
        <v>21.864165</v>
      </c>
    </row>
    <row r="31" spans="1:17" x14ac:dyDescent="0.25">
      <c r="B31" s="6" t="s">
        <v>22</v>
      </c>
      <c r="C31" s="6" t="s">
        <v>19</v>
      </c>
      <c r="D31" s="178">
        <f t="shared" si="3"/>
        <v>3.6755499999999999</v>
      </c>
      <c r="H31" s="6" t="s">
        <v>22</v>
      </c>
      <c r="I31" s="6" t="s">
        <v>19</v>
      </c>
      <c r="J31" s="178">
        <v>3.7804229999999999</v>
      </c>
      <c r="N31" s="6" t="s">
        <v>22</v>
      </c>
      <c r="O31" s="6" t="s">
        <v>19</v>
      </c>
      <c r="P31" s="178">
        <v>3.555752</v>
      </c>
    </row>
    <row r="32" spans="1:17" x14ac:dyDescent="0.25">
      <c r="B32" s="15" t="s">
        <v>23</v>
      </c>
      <c r="C32" s="15" t="s">
        <v>19</v>
      </c>
      <c r="D32" s="179">
        <f t="shared" si="3"/>
        <v>3.98028</v>
      </c>
      <c r="H32" s="15" t="s">
        <v>23</v>
      </c>
      <c r="I32" s="15" t="s">
        <v>19</v>
      </c>
      <c r="J32" s="179">
        <v>3.9732129999999999</v>
      </c>
      <c r="N32" s="15" t="s">
        <v>23</v>
      </c>
      <c r="O32" s="15" t="s">
        <v>19</v>
      </c>
      <c r="P32" s="179">
        <v>4.6055489999999999</v>
      </c>
    </row>
    <row r="33" spans="1:17" x14ac:dyDescent="0.25">
      <c r="B33" s="6" t="s">
        <v>24</v>
      </c>
      <c r="C33" s="6" t="s">
        <v>19</v>
      </c>
      <c r="D33" s="178">
        <f t="shared" si="3"/>
        <v>5.3437849999999996</v>
      </c>
      <c r="H33" s="6" t="s">
        <v>24</v>
      </c>
      <c r="I33" s="6" t="s">
        <v>19</v>
      </c>
      <c r="J33" s="178">
        <v>5.3901110000000001</v>
      </c>
      <c r="N33" s="6" t="s">
        <v>24</v>
      </c>
      <c r="O33" s="6" t="s">
        <v>19</v>
      </c>
      <c r="P33" s="178">
        <v>5.2231550000000002</v>
      </c>
    </row>
    <row r="34" spans="1:17" x14ac:dyDescent="0.25">
      <c r="B34" s="6" t="s">
        <v>25</v>
      </c>
      <c r="C34" s="6" t="s">
        <v>19</v>
      </c>
      <c r="D34" s="178">
        <f t="shared" si="3"/>
        <v>11.75165</v>
      </c>
      <c r="H34" s="6" t="s">
        <v>25</v>
      </c>
      <c r="I34" s="6" t="s">
        <v>19</v>
      </c>
      <c r="J34" s="178">
        <v>11.246544</v>
      </c>
      <c r="N34" s="6" t="s">
        <v>25</v>
      </c>
      <c r="O34" s="6" t="s">
        <v>19</v>
      </c>
      <c r="P34" s="178">
        <v>11.604331999999999</v>
      </c>
    </row>
    <row r="35" spans="1:17" x14ac:dyDescent="0.25">
      <c r="B35" s="6" t="s">
        <v>178</v>
      </c>
      <c r="C35" s="6" t="s">
        <v>19</v>
      </c>
      <c r="D35" s="178">
        <f t="shared" si="3"/>
        <v>53.796979999999998</v>
      </c>
      <c r="H35" s="6" t="s">
        <v>178</v>
      </c>
      <c r="I35" s="6" t="s">
        <v>19</v>
      </c>
      <c r="J35" s="178">
        <v>53.041099000000003</v>
      </c>
      <c r="N35" s="6" t="s">
        <v>178</v>
      </c>
      <c r="O35" s="6" t="s">
        <v>19</v>
      </c>
      <c r="P35" s="178">
        <v>53.152647000000002</v>
      </c>
    </row>
    <row r="36" spans="1:17" x14ac:dyDescent="0.25">
      <c r="B36" s="6" t="s">
        <v>26</v>
      </c>
      <c r="C36" s="6" t="s">
        <v>19</v>
      </c>
      <c r="D36" s="178">
        <f t="shared" si="3"/>
        <v>13.812110000000001</v>
      </c>
      <c r="H36" s="6" t="s">
        <v>26</v>
      </c>
      <c r="I36" s="6" t="s">
        <v>19</v>
      </c>
      <c r="J36" s="178">
        <v>14.761556000000001</v>
      </c>
      <c r="N36" s="6" t="s">
        <v>26</v>
      </c>
      <c r="O36" s="6" t="s">
        <v>19</v>
      </c>
      <c r="P36" s="178">
        <v>14.428616</v>
      </c>
    </row>
    <row r="37" spans="1:17" x14ac:dyDescent="0.25">
      <c r="B37" s="6" t="s">
        <v>27</v>
      </c>
      <c r="C37" s="6" t="s">
        <v>19</v>
      </c>
      <c r="D37" s="178">
        <f t="shared" si="3"/>
        <v>5.6012700000000004</v>
      </c>
      <c r="H37" s="6" t="s">
        <v>27</v>
      </c>
      <c r="I37" s="6" t="s">
        <v>19</v>
      </c>
      <c r="J37" s="178">
        <v>5.4457019999999998</v>
      </c>
      <c r="N37" s="6" t="s">
        <v>27</v>
      </c>
      <c r="O37" s="6" t="s">
        <v>19</v>
      </c>
      <c r="P37" s="178">
        <v>6.2021490000000004</v>
      </c>
    </row>
    <row r="38" spans="1:17" x14ac:dyDescent="0.25">
      <c r="B38" s="6" t="s">
        <v>179</v>
      </c>
      <c r="C38" s="6" t="s">
        <v>19</v>
      </c>
      <c r="D38" s="178">
        <f t="shared" si="3"/>
        <v>17.976012000000001</v>
      </c>
      <c r="H38" s="6" t="s">
        <v>179</v>
      </c>
      <c r="I38" s="6" t="s">
        <v>19</v>
      </c>
      <c r="J38" s="178">
        <v>15.577743</v>
      </c>
      <c r="N38" s="6" t="s">
        <v>179</v>
      </c>
      <c r="O38" s="6" t="s">
        <v>19</v>
      </c>
      <c r="P38" s="178">
        <v>14.256036</v>
      </c>
    </row>
    <row r="39" spans="1:17" x14ac:dyDescent="0.25">
      <c r="B39" s="6" t="s">
        <v>28</v>
      </c>
      <c r="C39" s="6" t="s">
        <v>19</v>
      </c>
      <c r="D39" s="178">
        <f t="shared" si="3"/>
        <v>35.845700000000001</v>
      </c>
      <c r="H39" s="6" t="s">
        <v>28</v>
      </c>
      <c r="I39" s="6" t="s">
        <v>19</v>
      </c>
      <c r="J39" s="178">
        <v>32.962125999999998</v>
      </c>
      <c r="N39" s="6" t="s">
        <v>28</v>
      </c>
      <c r="O39" s="6" t="s">
        <v>19</v>
      </c>
      <c r="P39" s="178">
        <v>35.323697000000003</v>
      </c>
    </row>
    <row r="40" spans="1:17" x14ac:dyDescent="0.25">
      <c r="B40" s="6" t="s">
        <v>180</v>
      </c>
      <c r="C40" s="6" t="s">
        <v>19</v>
      </c>
      <c r="D40" s="178">
        <f t="shared" si="3"/>
        <v>3.1083400000000001</v>
      </c>
      <c r="H40" s="6" t="s">
        <v>180</v>
      </c>
      <c r="I40" s="6" t="s">
        <v>19</v>
      </c>
      <c r="J40" s="178">
        <v>3.436102</v>
      </c>
      <c r="N40" s="6" t="s">
        <v>180</v>
      </c>
      <c r="O40" s="6" t="s">
        <v>19</v>
      </c>
      <c r="P40" s="178">
        <v>3.1794600000000002</v>
      </c>
    </row>
    <row r="41" spans="1:17" x14ac:dyDescent="0.25">
      <c r="B41" s="6" t="s">
        <v>119</v>
      </c>
      <c r="C41" s="6" t="s">
        <v>19</v>
      </c>
      <c r="D41" s="178">
        <f t="shared" si="3"/>
        <v>0</v>
      </c>
      <c r="H41" s="6" t="s">
        <v>119</v>
      </c>
      <c r="I41" s="6" t="s">
        <v>19</v>
      </c>
      <c r="J41" s="178">
        <v>0</v>
      </c>
      <c r="N41" s="6" t="s">
        <v>119</v>
      </c>
      <c r="O41" s="6" t="s">
        <v>19</v>
      </c>
      <c r="P41" s="178">
        <v>0</v>
      </c>
    </row>
    <row r="42" spans="1:17" x14ac:dyDescent="0.25">
      <c r="B42" s="6" t="s">
        <v>29</v>
      </c>
      <c r="C42" s="6" t="s">
        <v>30</v>
      </c>
      <c r="D42" s="178">
        <f t="shared" si="3"/>
        <v>3.3728769999999999</v>
      </c>
      <c r="H42" s="6" t="s">
        <v>29</v>
      </c>
      <c r="I42" s="6" t="s">
        <v>30</v>
      </c>
      <c r="J42" s="178">
        <v>3.4114659999999999</v>
      </c>
      <c r="N42" s="6" t="s">
        <v>29</v>
      </c>
      <c r="O42" s="6" t="s">
        <v>30</v>
      </c>
      <c r="P42" s="178">
        <v>3.3865069999999999</v>
      </c>
    </row>
    <row r="43" spans="1:17" x14ac:dyDescent="0.25">
      <c r="B43" s="6" t="s">
        <v>31</v>
      </c>
      <c r="C43" s="6" t="s">
        <v>30</v>
      </c>
      <c r="D43" s="178">
        <f t="shared" si="3"/>
        <v>3.2215220000000002</v>
      </c>
      <c r="H43" s="6" t="s">
        <v>31</v>
      </c>
      <c r="I43" s="6" t="s">
        <v>30</v>
      </c>
      <c r="J43" s="178">
        <v>3.2498230000000001</v>
      </c>
      <c r="N43" s="6" t="s">
        <v>31</v>
      </c>
      <c r="O43" s="6" t="s">
        <v>30</v>
      </c>
      <c r="P43" s="178">
        <v>3.229895</v>
      </c>
    </row>
    <row r="44" spans="1:17" x14ac:dyDescent="0.25">
      <c r="B44" s="15" t="s">
        <v>32</v>
      </c>
      <c r="C44" s="15" t="s">
        <v>30</v>
      </c>
      <c r="D44" s="179">
        <f t="shared" si="3"/>
        <v>2.3490310000000001</v>
      </c>
      <c r="H44" s="15" t="s">
        <v>32</v>
      </c>
      <c r="I44" s="15" t="s">
        <v>30</v>
      </c>
      <c r="J44" s="179">
        <v>2.3509169999999999</v>
      </c>
      <c r="N44" s="15" t="s">
        <v>32</v>
      </c>
      <c r="O44" s="15" t="s">
        <v>30</v>
      </c>
      <c r="P44" s="179">
        <v>2.3508200000000001</v>
      </c>
    </row>
    <row r="45" spans="1:17" x14ac:dyDescent="0.25">
      <c r="B45" s="6" t="s">
        <v>33</v>
      </c>
      <c r="C45" s="6" t="s">
        <v>30</v>
      </c>
      <c r="D45" s="178">
        <f t="shared" si="3"/>
        <v>2.441983</v>
      </c>
      <c r="H45" s="6" t="s">
        <v>33</v>
      </c>
      <c r="I45" s="6" t="s">
        <v>30</v>
      </c>
      <c r="J45" s="178">
        <v>2.4200659999999998</v>
      </c>
      <c r="N45" s="6" t="s">
        <v>33</v>
      </c>
      <c r="O45" s="6" t="s">
        <v>30</v>
      </c>
      <c r="P45" s="178">
        <v>2.4082970000000001</v>
      </c>
    </row>
    <row r="46" spans="1:17" x14ac:dyDescent="0.25">
      <c r="B46" s="15" t="s">
        <v>34</v>
      </c>
      <c r="C46" s="15" t="s">
        <v>19</v>
      </c>
      <c r="D46" s="179">
        <f t="shared" si="3"/>
        <v>0.66100599999999998</v>
      </c>
      <c r="H46" s="15" t="s">
        <v>34</v>
      </c>
      <c r="I46" s="15" t="s">
        <v>19</v>
      </c>
      <c r="J46" s="179">
        <v>0.64152399999999998</v>
      </c>
      <c r="N46" s="15" t="s">
        <v>34</v>
      </c>
      <c r="O46" s="15" t="s">
        <v>19</v>
      </c>
      <c r="P46" s="179">
        <v>0.64031899999999997</v>
      </c>
    </row>
    <row r="47" spans="1:17" s="36" customFormat="1" x14ac:dyDescent="0.25">
      <c r="A47" s="35"/>
      <c r="B47" s="18" t="s">
        <v>225</v>
      </c>
      <c r="C47" s="18" t="s">
        <v>19</v>
      </c>
      <c r="D47" s="180">
        <f t="shared" si="3"/>
        <v>0</v>
      </c>
      <c r="E47" s="180"/>
      <c r="G47" s="35"/>
      <c r="H47" s="18" t="s">
        <v>225</v>
      </c>
      <c r="I47" s="18" t="s">
        <v>19</v>
      </c>
      <c r="J47" s="180">
        <v>0</v>
      </c>
      <c r="K47" s="180"/>
      <c r="M47" s="35"/>
      <c r="N47" s="18" t="s">
        <v>225</v>
      </c>
      <c r="O47" s="18" t="s">
        <v>19</v>
      </c>
      <c r="P47" s="180">
        <v>0</v>
      </c>
      <c r="Q47" s="180"/>
    </row>
    <row r="48" spans="1:17" s="36" customFormat="1" x14ac:dyDescent="0.25">
      <c r="A48" s="35"/>
      <c r="B48" s="18" t="s">
        <v>226</v>
      </c>
      <c r="C48" s="18" t="s">
        <v>19</v>
      </c>
      <c r="D48" s="180">
        <f t="shared" si="3"/>
        <v>0</v>
      </c>
      <c r="E48" s="180"/>
      <c r="G48" s="35"/>
      <c r="H48" s="18" t="s">
        <v>226</v>
      </c>
      <c r="I48" s="18" t="s">
        <v>19</v>
      </c>
      <c r="J48" s="180">
        <v>0</v>
      </c>
      <c r="K48" s="180"/>
      <c r="M48" s="35"/>
      <c r="N48" s="18" t="s">
        <v>226</v>
      </c>
      <c r="O48" s="18" t="s">
        <v>19</v>
      </c>
      <c r="P48" s="180">
        <v>0</v>
      </c>
      <c r="Q48" s="180"/>
    </row>
    <row r="49" spans="2:17" x14ac:dyDescent="0.25">
      <c r="B49" s="6" t="s">
        <v>35</v>
      </c>
      <c r="C49" s="6" t="s">
        <v>19</v>
      </c>
      <c r="D49" s="178">
        <f t="shared" si="3"/>
        <v>0.54240200000000005</v>
      </c>
      <c r="H49" s="6" t="s">
        <v>35</v>
      </c>
      <c r="I49" s="6" t="s">
        <v>19</v>
      </c>
      <c r="J49" s="178">
        <v>0.544215</v>
      </c>
      <c r="N49" s="6" t="s">
        <v>35</v>
      </c>
      <c r="O49" s="6" t="s">
        <v>19</v>
      </c>
      <c r="P49" s="178">
        <v>0.53821399999999997</v>
      </c>
    </row>
    <row r="50" spans="2:17" x14ac:dyDescent="0.25">
      <c r="B50" s="15" t="s">
        <v>36</v>
      </c>
      <c r="C50" s="15" t="s">
        <v>19</v>
      </c>
      <c r="D50" s="179">
        <f t="shared" si="3"/>
        <v>0.41492200000000001</v>
      </c>
      <c r="H50" s="15" t="s">
        <v>36</v>
      </c>
      <c r="I50" s="15" t="s">
        <v>19</v>
      </c>
      <c r="J50" s="179">
        <v>0.40921400000000002</v>
      </c>
      <c r="N50" s="15" t="s">
        <v>36</v>
      </c>
      <c r="O50" s="15" t="s">
        <v>19</v>
      </c>
      <c r="P50" s="179">
        <v>0.40997899999999998</v>
      </c>
    </row>
    <row r="51" spans="2:17" x14ac:dyDescent="0.25">
      <c r="B51" s="6" t="s">
        <v>37</v>
      </c>
      <c r="C51" s="6" t="s">
        <v>19</v>
      </c>
      <c r="D51" s="178">
        <f t="shared" si="3"/>
        <v>0.33880500000000002</v>
      </c>
      <c r="H51" s="6" t="s">
        <v>37</v>
      </c>
      <c r="I51" s="6" t="s">
        <v>19</v>
      </c>
      <c r="J51" s="178">
        <v>0.32760600000000001</v>
      </c>
      <c r="N51" s="6" t="s">
        <v>37</v>
      </c>
      <c r="O51" s="6" t="s">
        <v>19</v>
      </c>
      <c r="P51" s="178">
        <v>0.32855400000000001</v>
      </c>
    </row>
    <row r="52" spans="2:17" x14ac:dyDescent="0.25">
      <c r="B52" s="6" t="s">
        <v>38</v>
      </c>
      <c r="C52" s="6" t="s">
        <v>19</v>
      </c>
      <c r="D52" s="178">
        <f t="shared" si="3"/>
        <v>0.43196299999999999</v>
      </c>
      <c r="H52" s="6" t="s">
        <v>38</v>
      </c>
      <c r="I52" s="6" t="s">
        <v>19</v>
      </c>
      <c r="J52" s="178">
        <v>0.44586599999999998</v>
      </c>
      <c r="N52" s="6" t="s">
        <v>38</v>
      </c>
      <c r="O52" s="6" t="s">
        <v>19</v>
      </c>
      <c r="P52" s="178">
        <v>0.43215799999999999</v>
      </c>
    </row>
    <row r="53" spans="2:17" x14ac:dyDescent="0.25">
      <c r="B53" s="6" t="s">
        <v>39</v>
      </c>
      <c r="C53" s="6" t="s">
        <v>19</v>
      </c>
      <c r="D53" s="178">
        <f t="shared" si="3"/>
        <v>0.24948000000000001</v>
      </c>
      <c r="H53" s="6" t="s">
        <v>39</v>
      </c>
      <c r="I53" s="6" t="s">
        <v>19</v>
      </c>
      <c r="J53" s="178">
        <v>0.25700200000000001</v>
      </c>
      <c r="N53" s="6" t="s">
        <v>39</v>
      </c>
      <c r="O53" s="6" t="s">
        <v>19</v>
      </c>
      <c r="P53" s="178">
        <v>0.25023499999999999</v>
      </c>
    </row>
    <row r="54" spans="2:17" x14ac:dyDescent="0.25">
      <c r="B54" s="15" t="s">
        <v>40</v>
      </c>
      <c r="C54" s="15" t="s">
        <v>19</v>
      </c>
      <c r="D54" s="179">
        <f t="shared" si="3"/>
        <v>0.122</v>
      </c>
      <c r="H54" s="15" t="s">
        <v>40</v>
      </c>
      <c r="I54" s="15" t="s">
        <v>19</v>
      </c>
      <c r="J54" s="179">
        <v>0.122</v>
      </c>
      <c r="N54" s="15" t="s">
        <v>40</v>
      </c>
      <c r="O54" s="15" t="s">
        <v>19</v>
      </c>
      <c r="P54" s="179">
        <v>0.122</v>
      </c>
    </row>
    <row r="55" spans="2:17" x14ac:dyDescent="0.25">
      <c r="B55" s="6" t="s">
        <v>41</v>
      </c>
      <c r="C55" s="6" t="s">
        <v>19</v>
      </c>
      <c r="D55" s="178">
        <f t="shared" si="3"/>
        <v>0.10979999999999999</v>
      </c>
      <c r="H55" s="6" t="s">
        <v>41</v>
      </c>
      <c r="I55" s="6" t="s">
        <v>19</v>
      </c>
      <c r="J55" s="178">
        <v>0.10979999999999999</v>
      </c>
      <c r="N55" s="6" t="s">
        <v>41</v>
      </c>
      <c r="O55" s="6" t="s">
        <v>19</v>
      </c>
      <c r="P55" s="178">
        <v>0.10979999999999999</v>
      </c>
    </row>
    <row r="56" spans="2:17" x14ac:dyDescent="0.25">
      <c r="B56" s="6" t="s">
        <v>42</v>
      </c>
      <c r="C56" s="6" t="s">
        <v>19</v>
      </c>
      <c r="D56" s="178">
        <f t="shared" si="3"/>
        <v>0.11224000000000001</v>
      </c>
      <c r="H56" s="6" t="s">
        <v>42</v>
      </c>
      <c r="I56" s="6" t="s">
        <v>19</v>
      </c>
      <c r="J56" s="178">
        <v>0.11224000000000001</v>
      </c>
      <c r="N56" s="6" t="s">
        <v>42</v>
      </c>
      <c r="O56" s="6" t="s">
        <v>19</v>
      </c>
      <c r="P56" s="178">
        <v>0.11224000000000001</v>
      </c>
    </row>
    <row r="57" spans="2:17" x14ac:dyDescent="0.25">
      <c r="B57" s="15" t="s">
        <v>43</v>
      </c>
      <c r="C57" s="15" t="s">
        <v>44</v>
      </c>
      <c r="D57" s="186">
        <f t="shared" si="3"/>
        <v>1500</v>
      </c>
      <c r="E57" s="185"/>
      <c r="H57" s="15" t="s">
        <v>43</v>
      </c>
      <c r="I57" s="15" t="s">
        <v>44</v>
      </c>
      <c r="J57" s="186">
        <v>1500</v>
      </c>
      <c r="K57" s="185"/>
      <c r="N57" s="15" t="s">
        <v>43</v>
      </c>
      <c r="O57" s="15" t="s">
        <v>44</v>
      </c>
      <c r="P57" s="186">
        <v>1500</v>
      </c>
      <c r="Q57" s="185"/>
    </row>
    <row r="58" spans="2:17" x14ac:dyDescent="0.25">
      <c r="B58" s="176" t="s">
        <v>45</v>
      </c>
      <c r="C58" s="176" t="s">
        <v>46</v>
      </c>
      <c r="D58" s="182">
        <f t="shared" si="3"/>
        <v>1.218664</v>
      </c>
      <c r="H58" s="176" t="s">
        <v>45</v>
      </c>
      <c r="I58" s="176" t="s">
        <v>46</v>
      </c>
      <c r="J58" s="182">
        <v>1.1788050000000001</v>
      </c>
      <c r="N58" s="176" t="s">
        <v>45</v>
      </c>
      <c r="O58" s="176" t="s">
        <v>46</v>
      </c>
      <c r="P58" s="182">
        <v>1.18971</v>
      </c>
    </row>
    <row r="59" spans="2:17" x14ac:dyDescent="0.25">
      <c r="B59" s="6" t="s">
        <v>47</v>
      </c>
      <c r="C59" s="6" t="s">
        <v>46</v>
      </c>
      <c r="D59" s="178">
        <f t="shared" si="3"/>
        <v>1.5930850000000001</v>
      </c>
      <c r="H59" s="6" t="s">
        <v>47</v>
      </c>
      <c r="I59" s="6" t="s">
        <v>46</v>
      </c>
      <c r="J59" s="178">
        <v>1.567699</v>
      </c>
      <c r="N59" s="6" t="s">
        <v>47</v>
      </c>
      <c r="O59" s="6" t="s">
        <v>46</v>
      </c>
      <c r="P59" s="178">
        <v>1.561833</v>
      </c>
    </row>
    <row r="60" spans="2:17" x14ac:dyDescent="0.25">
      <c r="B60" s="6" t="s">
        <v>48</v>
      </c>
      <c r="C60" s="6" t="s">
        <v>46</v>
      </c>
      <c r="D60" s="178">
        <f t="shared" ref="D60:D91" si="4">IFERROR(VLOOKUP(B60,raw_2,6,FALSE),0)</f>
        <v>1.95099</v>
      </c>
      <c r="H60" s="6" t="s">
        <v>48</v>
      </c>
      <c r="I60" s="6" t="s">
        <v>46</v>
      </c>
      <c r="J60" s="178">
        <v>1.958218</v>
      </c>
      <c r="N60" s="6" t="s">
        <v>48</v>
      </c>
      <c r="O60" s="6" t="s">
        <v>46</v>
      </c>
      <c r="P60" s="178">
        <v>1.9488970000000001</v>
      </c>
    </row>
    <row r="61" spans="2:17" x14ac:dyDescent="0.25">
      <c r="B61" s="6" t="s">
        <v>181</v>
      </c>
      <c r="C61" s="6" t="s">
        <v>46</v>
      </c>
      <c r="D61" s="178">
        <f t="shared" si="4"/>
        <v>1.5302389999999999</v>
      </c>
      <c r="H61" s="6" t="s">
        <v>181</v>
      </c>
      <c r="I61" s="6" t="s">
        <v>46</v>
      </c>
      <c r="J61" s="178">
        <v>1.438828</v>
      </c>
      <c r="N61" s="6" t="s">
        <v>181</v>
      </c>
      <c r="O61" s="6" t="s">
        <v>46</v>
      </c>
      <c r="P61" s="178">
        <v>1.481679</v>
      </c>
    </row>
    <row r="62" spans="2:17" x14ac:dyDescent="0.25">
      <c r="B62" s="15" t="s">
        <v>49</v>
      </c>
      <c r="C62" s="15" t="s">
        <v>19</v>
      </c>
      <c r="D62" s="179">
        <f t="shared" si="4"/>
        <v>0.23629800000000001</v>
      </c>
      <c r="H62" s="15" t="s">
        <v>49</v>
      </c>
      <c r="I62" s="15" t="s">
        <v>19</v>
      </c>
      <c r="J62" s="179">
        <v>0.23586099999999999</v>
      </c>
      <c r="N62" s="15" t="s">
        <v>49</v>
      </c>
      <c r="O62" s="15" t="s">
        <v>19</v>
      </c>
      <c r="P62" s="179">
        <v>0.23369799999999999</v>
      </c>
    </row>
    <row r="63" spans="2:17" x14ac:dyDescent="0.25">
      <c r="B63" s="6" t="s">
        <v>50</v>
      </c>
      <c r="C63" s="6" t="s">
        <v>19</v>
      </c>
      <c r="D63" s="178">
        <f t="shared" si="4"/>
        <v>0.85193399999999997</v>
      </c>
      <c r="H63" s="6" t="s">
        <v>50</v>
      </c>
      <c r="I63" s="6" t="s">
        <v>19</v>
      </c>
      <c r="J63" s="178">
        <v>0.88163599999999998</v>
      </c>
      <c r="N63" s="6" t="s">
        <v>50</v>
      </c>
      <c r="O63" s="6" t="s">
        <v>19</v>
      </c>
      <c r="P63" s="178">
        <v>0.86606300000000003</v>
      </c>
    </row>
    <row r="64" spans="2:17" x14ac:dyDescent="0.25">
      <c r="B64" s="6" t="s">
        <v>51</v>
      </c>
      <c r="C64" s="6" t="s">
        <v>19</v>
      </c>
      <c r="D64" s="178">
        <f t="shared" si="4"/>
        <v>0.36317199999999999</v>
      </c>
      <c r="H64" s="6" t="s">
        <v>51</v>
      </c>
      <c r="I64" s="6" t="s">
        <v>19</v>
      </c>
      <c r="J64" s="178">
        <v>0.37125399999999997</v>
      </c>
      <c r="N64" s="6" t="s">
        <v>51</v>
      </c>
      <c r="O64" s="6" t="s">
        <v>19</v>
      </c>
      <c r="P64" s="178">
        <v>0.37238700000000002</v>
      </c>
    </row>
    <row r="65" spans="2:16" x14ac:dyDescent="0.25">
      <c r="B65" s="6" t="s">
        <v>52</v>
      </c>
      <c r="C65" s="6" t="s">
        <v>19</v>
      </c>
      <c r="D65" s="178">
        <f t="shared" si="4"/>
        <v>0.21118300000000001</v>
      </c>
      <c r="H65" s="6" t="s">
        <v>52</v>
      </c>
      <c r="I65" s="6" t="s">
        <v>19</v>
      </c>
      <c r="J65" s="178">
        <v>0.21871499999999999</v>
      </c>
      <c r="N65" s="6" t="s">
        <v>52</v>
      </c>
      <c r="O65" s="6" t="s">
        <v>19</v>
      </c>
      <c r="P65" s="178">
        <v>0.20260400000000001</v>
      </c>
    </row>
    <row r="66" spans="2:16" x14ac:dyDescent="0.25">
      <c r="B66" s="6" t="s">
        <v>53</v>
      </c>
      <c r="C66" s="6" t="s">
        <v>19</v>
      </c>
      <c r="D66" s="178">
        <f t="shared" si="4"/>
        <v>0.35637400000000002</v>
      </c>
      <c r="H66" s="6" t="s">
        <v>53</v>
      </c>
      <c r="I66" s="6" t="s">
        <v>19</v>
      </c>
      <c r="J66" s="178">
        <v>0.36767100000000003</v>
      </c>
      <c r="N66" s="6" t="s">
        <v>53</v>
      </c>
      <c r="O66" s="6" t="s">
        <v>19</v>
      </c>
      <c r="P66" s="178">
        <v>0.38353599999999999</v>
      </c>
    </row>
    <row r="67" spans="2:16" x14ac:dyDescent="0.25">
      <c r="B67" s="15" t="s">
        <v>182</v>
      </c>
      <c r="C67" s="15" t="s">
        <v>19</v>
      </c>
      <c r="D67" s="179">
        <f t="shared" si="4"/>
        <v>0.59822200000000003</v>
      </c>
      <c r="H67" s="15" t="s">
        <v>182</v>
      </c>
      <c r="I67" s="15" t="s">
        <v>19</v>
      </c>
      <c r="J67" s="179">
        <v>0.59711499999999995</v>
      </c>
      <c r="N67" s="15" t="s">
        <v>182</v>
      </c>
      <c r="O67" s="15" t="s">
        <v>19</v>
      </c>
      <c r="P67" s="179">
        <v>0.59164000000000005</v>
      </c>
    </row>
    <row r="68" spans="2:16" x14ac:dyDescent="0.25">
      <c r="B68" s="6" t="s">
        <v>183</v>
      </c>
      <c r="C68" s="6" t="s">
        <v>184</v>
      </c>
      <c r="D68" s="178">
        <f t="shared" si="4"/>
        <v>52.463512000000001</v>
      </c>
      <c r="H68" s="6" t="s">
        <v>183</v>
      </c>
      <c r="I68" s="6" t="s">
        <v>184</v>
      </c>
      <c r="J68" s="178">
        <v>43.9313</v>
      </c>
      <c r="N68" s="6" t="s">
        <v>183</v>
      </c>
      <c r="O68" s="6" t="s">
        <v>184</v>
      </c>
      <c r="P68" s="178">
        <v>41.355296000000003</v>
      </c>
    </row>
    <row r="69" spans="2:16" x14ac:dyDescent="0.25">
      <c r="B69" s="6" t="s">
        <v>54</v>
      </c>
      <c r="C69" s="6" t="s">
        <v>19</v>
      </c>
      <c r="D69" s="178">
        <f t="shared" si="4"/>
        <v>1.386552</v>
      </c>
      <c r="H69" s="6" t="s">
        <v>54</v>
      </c>
      <c r="I69" s="6" t="s">
        <v>19</v>
      </c>
      <c r="J69" s="178">
        <v>1.3796649999999999</v>
      </c>
      <c r="N69" s="6" t="s">
        <v>54</v>
      </c>
      <c r="O69" s="6" t="s">
        <v>19</v>
      </c>
      <c r="P69" s="178">
        <v>1.3873740000000001</v>
      </c>
    </row>
    <row r="70" spans="2:16" x14ac:dyDescent="0.25">
      <c r="B70" s="15" t="s">
        <v>55</v>
      </c>
      <c r="C70" s="15" t="s">
        <v>19</v>
      </c>
      <c r="D70" s="179">
        <f t="shared" si="4"/>
        <v>1.2249159999999999</v>
      </c>
      <c r="H70" s="15" t="s">
        <v>55</v>
      </c>
      <c r="I70" s="15" t="s">
        <v>19</v>
      </c>
      <c r="J70" s="179">
        <v>1.223463</v>
      </c>
      <c r="N70" s="15" t="s">
        <v>55</v>
      </c>
      <c r="O70" s="15" t="s">
        <v>19</v>
      </c>
      <c r="P70" s="179">
        <v>1.224586</v>
      </c>
    </row>
    <row r="71" spans="2:16" x14ac:dyDescent="0.25">
      <c r="B71" s="15" t="s">
        <v>56</v>
      </c>
      <c r="C71" s="15" t="s">
        <v>46</v>
      </c>
      <c r="D71" s="179">
        <f t="shared" si="4"/>
        <v>0.34817300000000001</v>
      </c>
      <c r="H71" s="15" t="s">
        <v>56</v>
      </c>
      <c r="I71" s="15" t="s">
        <v>46</v>
      </c>
      <c r="J71" s="179">
        <v>0.31469999999999998</v>
      </c>
      <c r="N71" s="15" t="s">
        <v>56</v>
      </c>
      <c r="O71" s="15" t="s">
        <v>46</v>
      </c>
      <c r="P71" s="179">
        <v>0.35024899999999998</v>
      </c>
    </row>
    <row r="72" spans="2:16" x14ac:dyDescent="0.25">
      <c r="B72" s="6" t="s">
        <v>57</v>
      </c>
      <c r="C72" s="6" t="s">
        <v>46</v>
      </c>
      <c r="D72" s="178">
        <f t="shared" si="4"/>
        <v>0.23200899999999999</v>
      </c>
      <c r="H72" s="6" t="s">
        <v>57</v>
      </c>
      <c r="I72" s="6" t="s">
        <v>46</v>
      </c>
      <c r="J72" s="178">
        <v>0.26369300000000001</v>
      </c>
      <c r="N72" s="6" t="s">
        <v>57</v>
      </c>
      <c r="O72" s="6" t="s">
        <v>46</v>
      </c>
      <c r="P72" s="178">
        <v>0.23081599999999999</v>
      </c>
    </row>
    <row r="73" spans="2:16" x14ac:dyDescent="0.25">
      <c r="B73" s="15" t="s">
        <v>58</v>
      </c>
      <c r="C73" s="15" t="s">
        <v>46</v>
      </c>
      <c r="D73" s="179">
        <f t="shared" si="4"/>
        <v>0.58018199999999998</v>
      </c>
      <c r="H73" s="15" t="s">
        <v>58</v>
      </c>
      <c r="I73" s="15" t="s">
        <v>46</v>
      </c>
      <c r="J73" s="179">
        <v>0.57839300000000005</v>
      </c>
      <c r="N73" s="15" t="s">
        <v>58</v>
      </c>
      <c r="O73" s="15" t="s">
        <v>46</v>
      </c>
      <c r="P73" s="179">
        <v>0.58106500000000005</v>
      </c>
    </row>
    <row r="74" spans="2:16" x14ac:dyDescent="0.25">
      <c r="B74" s="15" t="s">
        <v>59</v>
      </c>
      <c r="C74" s="15" t="s">
        <v>46</v>
      </c>
      <c r="D74" s="179">
        <f t="shared" si="4"/>
        <v>0.61365499999999995</v>
      </c>
      <c r="H74" s="15" t="s">
        <v>59</v>
      </c>
      <c r="I74" s="15" t="s">
        <v>46</v>
      </c>
      <c r="J74" s="179">
        <v>0.61666500000000002</v>
      </c>
      <c r="N74" s="15" t="s">
        <v>59</v>
      </c>
      <c r="O74" s="15" t="s">
        <v>46</v>
      </c>
      <c r="P74" s="179">
        <v>0.61546800000000002</v>
      </c>
    </row>
    <row r="75" spans="2:16" x14ac:dyDescent="0.25">
      <c r="B75" s="15" t="s">
        <v>60</v>
      </c>
      <c r="C75" s="15" t="s">
        <v>46</v>
      </c>
      <c r="D75" s="179">
        <f t="shared" si="4"/>
        <v>0.18640499999999999</v>
      </c>
      <c r="H75" s="15" t="s">
        <v>60</v>
      </c>
      <c r="I75" s="15" t="s">
        <v>46</v>
      </c>
      <c r="J75" s="179">
        <v>0.18693599999999999</v>
      </c>
      <c r="N75" s="15" t="s">
        <v>60</v>
      </c>
      <c r="O75" s="15" t="s">
        <v>46</v>
      </c>
      <c r="P75" s="179">
        <v>0.18549199999999999</v>
      </c>
    </row>
    <row r="76" spans="2:16" x14ac:dyDescent="0.25">
      <c r="B76" s="15" t="s">
        <v>61</v>
      </c>
      <c r="C76" s="15" t="s">
        <v>46</v>
      </c>
      <c r="D76" s="179">
        <f t="shared" si="4"/>
        <v>0.59726900000000005</v>
      </c>
      <c r="H76" s="15" t="s">
        <v>61</v>
      </c>
      <c r="I76" s="15" t="s">
        <v>46</v>
      </c>
      <c r="J76" s="179">
        <v>0.62441500000000005</v>
      </c>
      <c r="N76" s="15" t="s">
        <v>61</v>
      </c>
      <c r="O76" s="15" t="s">
        <v>46</v>
      </c>
      <c r="P76" s="179">
        <v>0.58055999999999996</v>
      </c>
    </row>
    <row r="77" spans="2:16" x14ac:dyDescent="0.25">
      <c r="B77" s="15" t="s">
        <v>62</v>
      </c>
      <c r="C77" s="15" t="s">
        <v>46</v>
      </c>
      <c r="D77" s="179">
        <f t="shared" si="4"/>
        <v>0.68155399999999999</v>
      </c>
      <c r="H77" s="15" t="s">
        <v>62</v>
      </c>
      <c r="I77" s="15" t="s">
        <v>46</v>
      </c>
      <c r="J77" s="179">
        <v>0.70869700000000002</v>
      </c>
      <c r="N77" s="15" t="s">
        <v>62</v>
      </c>
      <c r="O77" s="15" t="s">
        <v>46</v>
      </c>
      <c r="P77" s="179">
        <v>0.66010500000000005</v>
      </c>
    </row>
    <row r="78" spans="2:16" x14ac:dyDescent="0.25">
      <c r="B78" s="6" t="s">
        <v>63</v>
      </c>
      <c r="C78" s="6" t="s">
        <v>46</v>
      </c>
      <c r="D78" s="178">
        <f t="shared" si="4"/>
        <v>1.3314060000000001</v>
      </c>
      <c r="H78" s="6" t="s">
        <v>63</v>
      </c>
      <c r="I78" s="6" t="s">
        <v>46</v>
      </c>
      <c r="J78" s="178">
        <v>1.2545329999999999</v>
      </c>
      <c r="N78" s="6" t="s">
        <v>63</v>
      </c>
      <c r="O78" s="6" t="s">
        <v>46</v>
      </c>
      <c r="P78" s="178">
        <v>1.1691419999999999</v>
      </c>
    </row>
    <row r="79" spans="2:16" x14ac:dyDescent="0.25">
      <c r="B79" s="6" t="s">
        <v>64</v>
      </c>
      <c r="C79" s="6" t="s">
        <v>46</v>
      </c>
      <c r="D79" s="178">
        <f t="shared" si="4"/>
        <v>0.92410800000000004</v>
      </c>
      <c r="H79" s="6" t="s">
        <v>64</v>
      </c>
      <c r="I79" s="6" t="s">
        <v>46</v>
      </c>
      <c r="J79" s="178">
        <v>0.95457700000000001</v>
      </c>
      <c r="N79" s="6" t="s">
        <v>64</v>
      </c>
      <c r="O79" s="6" t="s">
        <v>46</v>
      </c>
      <c r="P79" s="178">
        <v>0.98652099999999998</v>
      </c>
    </row>
    <row r="80" spans="2:16" x14ac:dyDescent="0.25">
      <c r="B80" s="6" t="s">
        <v>65</v>
      </c>
      <c r="C80" s="6" t="s">
        <v>46</v>
      </c>
      <c r="D80" s="178">
        <f t="shared" si="4"/>
        <v>0.388459</v>
      </c>
      <c r="H80" s="6" t="s">
        <v>65</v>
      </c>
      <c r="I80" s="6" t="s">
        <v>46</v>
      </c>
      <c r="J80" s="178">
        <v>0.391461</v>
      </c>
      <c r="N80" s="6" t="s">
        <v>65</v>
      </c>
      <c r="O80" s="6" t="s">
        <v>46</v>
      </c>
      <c r="P80" s="178">
        <v>0.370643</v>
      </c>
    </row>
    <row r="81" spans="2:16" x14ac:dyDescent="0.25">
      <c r="B81" s="6" t="s">
        <v>66</v>
      </c>
      <c r="C81" s="6" t="s">
        <v>46</v>
      </c>
      <c r="D81" s="178">
        <f t="shared" si="4"/>
        <v>0.73463199999999995</v>
      </c>
      <c r="H81" s="6" t="s">
        <v>66</v>
      </c>
      <c r="I81" s="6" t="s">
        <v>46</v>
      </c>
      <c r="J81" s="178">
        <v>0.76997700000000002</v>
      </c>
      <c r="N81" s="6" t="s">
        <v>66</v>
      </c>
      <c r="O81" s="6" t="s">
        <v>46</v>
      </c>
      <c r="P81" s="178">
        <v>0.69650800000000002</v>
      </c>
    </row>
    <row r="82" spans="2:16" x14ac:dyDescent="0.25">
      <c r="B82" s="6" t="s">
        <v>67</v>
      </c>
      <c r="C82" s="6" t="s">
        <v>46</v>
      </c>
      <c r="D82" s="178">
        <f t="shared" si="4"/>
        <v>0.533219</v>
      </c>
      <c r="H82" s="6" t="s">
        <v>67</v>
      </c>
      <c r="I82" s="6" t="s">
        <v>46</v>
      </c>
      <c r="J82" s="178">
        <v>0.55472399999999999</v>
      </c>
      <c r="N82" s="6" t="s">
        <v>67</v>
      </c>
      <c r="O82" s="6" t="s">
        <v>46</v>
      </c>
      <c r="P82" s="178">
        <v>0.50807899999999995</v>
      </c>
    </row>
    <row r="83" spans="2:16" x14ac:dyDescent="0.25">
      <c r="B83" s="6" t="s">
        <v>68</v>
      </c>
      <c r="C83" s="6" t="s">
        <v>46</v>
      </c>
      <c r="D83" s="178">
        <f t="shared" si="4"/>
        <v>1.2678510000000001</v>
      </c>
      <c r="H83" s="6" t="s">
        <v>68</v>
      </c>
      <c r="I83" s="6" t="s">
        <v>46</v>
      </c>
      <c r="J83" s="178">
        <v>1.3247009999999999</v>
      </c>
      <c r="N83" s="6" t="s">
        <v>68</v>
      </c>
      <c r="O83" s="6" t="s">
        <v>46</v>
      </c>
      <c r="P83" s="178">
        <v>1.2045870000000001</v>
      </c>
    </row>
    <row r="84" spans="2:16" x14ac:dyDescent="0.25">
      <c r="B84" s="6" t="s">
        <v>69</v>
      </c>
      <c r="C84" s="6" t="s">
        <v>70</v>
      </c>
      <c r="D84" s="178">
        <f t="shared" si="4"/>
        <v>12.249155999999999</v>
      </c>
      <c r="H84" s="6" t="s">
        <v>69</v>
      </c>
      <c r="I84" s="6" t="s">
        <v>70</v>
      </c>
      <c r="J84" s="178">
        <v>12.234629</v>
      </c>
      <c r="N84" s="6" t="s">
        <v>69</v>
      </c>
      <c r="O84" s="6" t="s">
        <v>70</v>
      </c>
      <c r="P84" s="178">
        <v>12.24586</v>
      </c>
    </row>
    <row r="85" spans="2:16" x14ac:dyDescent="0.25">
      <c r="B85" s="15" t="s">
        <v>71</v>
      </c>
      <c r="C85" s="15" t="s">
        <v>72</v>
      </c>
      <c r="D85" s="179">
        <f t="shared" si="4"/>
        <v>5.2145570000000001</v>
      </c>
      <c r="H85" s="15" t="s">
        <v>71</v>
      </c>
      <c r="I85" s="15" t="s">
        <v>72</v>
      </c>
      <c r="J85" s="179">
        <v>5.2041950000000003</v>
      </c>
      <c r="N85" s="15" t="s">
        <v>71</v>
      </c>
      <c r="O85" s="15" t="s">
        <v>72</v>
      </c>
      <c r="P85" s="179">
        <v>5.209187</v>
      </c>
    </row>
    <row r="86" spans="2:16" x14ac:dyDescent="0.25">
      <c r="B86" s="18" t="s">
        <v>73</v>
      </c>
      <c r="C86" s="18" t="s">
        <v>72</v>
      </c>
      <c r="D86" s="180">
        <f t="shared" si="4"/>
        <v>5.01607</v>
      </c>
      <c r="H86" s="18" t="s">
        <v>73</v>
      </c>
      <c r="I86" s="18" t="s">
        <v>72</v>
      </c>
      <c r="J86" s="180">
        <v>5.0554949999999996</v>
      </c>
      <c r="N86" s="18" t="s">
        <v>73</v>
      </c>
      <c r="O86" s="18" t="s">
        <v>72</v>
      </c>
      <c r="P86" s="180">
        <v>5.0848630000000004</v>
      </c>
    </row>
    <row r="87" spans="2:16" x14ac:dyDescent="0.25">
      <c r="B87" s="6" t="s">
        <v>74</v>
      </c>
      <c r="C87" s="6" t="s">
        <v>19</v>
      </c>
      <c r="D87" s="178">
        <f t="shared" si="4"/>
        <v>0.42648200000000003</v>
      </c>
      <c r="H87" s="6" t="s">
        <v>74</v>
      </c>
      <c r="I87" s="6" t="s">
        <v>19</v>
      </c>
      <c r="J87" s="178">
        <v>0.385023</v>
      </c>
      <c r="N87" s="6" t="s">
        <v>74</v>
      </c>
      <c r="O87" s="6" t="s">
        <v>19</v>
      </c>
      <c r="P87" s="178">
        <v>0.42891000000000001</v>
      </c>
    </row>
    <row r="88" spans="2:16" x14ac:dyDescent="0.25">
      <c r="B88" s="6" t="s">
        <v>75</v>
      </c>
      <c r="C88" s="6" t="s">
        <v>19</v>
      </c>
      <c r="D88" s="178">
        <f t="shared" si="4"/>
        <v>0.284192</v>
      </c>
      <c r="H88" s="6" t="s">
        <v>75</v>
      </c>
      <c r="I88" s="6" t="s">
        <v>19</v>
      </c>
      <c r="J88" s="178">
        <v>0.32261899999999999</v>
      </c>
      <c r="N88" s="6" t="s">
        <v>75</v>
      </c>
      <c r="O88" s="6" t="s">
        <v>19</v>
      </c>
      <c r="P88" s="178">
        <v>0.28265400000000002</v>
      </c>
    </row>
    <row r="89" spans="2:16" x14ac:dyDescent="0.25">
      <c r="B89" s="6" t="s">
        <v>76</v>
      </c>
      <c r="C89" s="6" t="s">
        <v>19</v>
      </c>
      <c r="D89" s="178">
        <f t="shared" si="4"/>
        <v>0.71067400000000003</v>
      </c>
      <c r="H89" s="6" t="s">
        <v>76</v>
      </c>
      <c r="I89" s="6" t="s">
        <v>19</v>
      </c>
      <c r="J89" s="178">
        <v>0.70764199999999999</v>
      </c>
      <c r="N89" s="6" t="s">
        <v>76</v>
      </c>
      <c r="O89" s="6" t="s">
        <v>19</v>
      </c>
      <c r="P89" s="178">
        <v>0.71156399999999997</v>
      </c>
    </row>
    <row r="90" spans="2:16" x14ac:dyDescent="0.25">
      <c r="B90" s="6" t="s">
        <v>77</v>
      </c>
      <c r="C90" s="6" t="s">
        <v>19</v>
      </c>
      <c r="D90" s="178">
        <f t="shared" si="4"/>
        <v>0.75167600000000001</v>
      </c>
      <c r="H90" s="6" t="s">
        <v>77</v>
      </c>
      <c r="I90" s="6" t="s">
        <v>19</v>
      </c>
      <c r="J90" s="178">
        <v>0.754467</v>
      </c>
      <c r="N90" s="6" t="s">
        <v>77</v>
      </c>
      <c r="O90" s="6" t="s">
        <v>19</v>
      </c>
      <c r="P90" s="178">
        <v>0.75369299999999995</v>
      </c>
    </row>
    <row r="91" spans="2:16" x14ac:dyDescent="0.25">
      <c r="B91" s="6" t="s">
        <v>78</v>
      </c>
      <c r="C91" s="6" t="s">
        <v>19</v>
      </c>
      <c r="D91" s="178">
        <f t="shared" si="4"/>
        <v>0.22833000000000001</v>
      </c>
      <c r="H91" s="6" t="s">
        <v>78</v>
      </c>
      <c r="I91" s="6" t="s">
        <v>19</v>
      </c>
      <c r="J91" s="178">
        <v>0.22871</v>
      </c>
      <c r="N91" s="6" t="s">
        <v>78</v>
      </c>
      <c r="O91" s="6" t="s">
        <v>19</v>
      </c>
      <c r="P91" s="178">
        <v>0.22715099999999999</v>
      </c>
    </row>
    <row r="92" spans="2:16" x14ac:dyDescent="0.25">
      <c r="B92" s="6" t="s">
        <v>79</v>
      </c>
      <c r="C92" s="6" t="s">
        <v>19</v>
      </c>
      <c r="D92" s="178">
        <f t="shared" ref="D92:D123" si="5">IFERROR(VLOOKUP(B92,raw_2,6,FALSE),0)</f>
        <v>0.73160400000000003</v>
      </c>
      <c r="H92" s="6" t="s">
        <v>79</v>
      </c>
      <c r="I92" s="6" t="s">
        <v>19</v>
      </c>
      <c r="J92" s="178">
        <v>0.76394799999999996</v>
      </c>
      <c r="N92" s="6" t="s">
        <v>79</v>
      </c>
      <c r="O92" s="6" t="s">
        <v>19</v>
      </c>
      <c r="P92" s="178">
        <v>0.71094500000000005</v>
      </c>
    </row>
    <row r="93" spans="2:16" x14ac:dyDescent="0.25">
      <c r="B93" s="6" t="s">
        <v>80</v>
      </c>
      <c r="C93" s="6" t="s">
        <v>19</v>
      </c>
      <c r="D93" s="178">
        <f t="shared" si="5"/>
        <v>0.83484599999999998</v>
      </c>
      <c r="H93" s="6" t="s">
        <v>80</v>
      </c>
      <c r="I93" s="6" t="s">
        <v>19</v>
      </c>
      <c r="J93" s="178">
        <v>0.86706499999999997</v>
      </c>
      <c r="N93" s="6" t="s">
        <v>80</v>
      </c>
      <c r="O93" s="6" t="s">
        <v>19</v>
      </c>
      <c r="P93" s="178">
        <v>0.80835500000000005</v>
      </c>
    </row>
    <row r="94" spans="2:16" x14ac:dyDescent="0.25">
      <c r="B94" s="6" t="s">
        <v>81</v>
      </c>
      <c r="C94" s="6" t="s">
        <v>19</v>
      </c>
      <c r="D94" s="178">
        <f t="shared" si="5"/>
        <v>1.63086</v>
      </c>
      <c r="H94" s="6" t="s">
        <v>81</v>
      </c>
      <c r="I94" s="6" t="s">
        <v>19</v>
      </c>
      <c r="J94" s="178">
        <v>1.534875</v>
      </c>
      <c r="N94" s="6" t="s">
        <v>81</v>
      </c>
      <c r="O94" s="6" t="s">
        <v>19</v>
      </c>
      <c r="P94" s="178">
        <v>1.4317150000000001</v>
      </c>
    </row>
    <row r="95" spans="2:16" x14ac:dyDescent="0.25">
      <c r="B95" s="6" t="s">
        <v>185</v>
      </c>
      <c r="C95" s="6" t="s">
        <v>19</v>
      </c>
      <c r="D95" s="178">
        <f t="shared" si="5"/>
        <v>1.1319539999999999</v>
      </c>
      <c r="H95" s="6" t="s">
        <v>185</v>
      </c>
      <c r="I95" s="6" t="s">
        <v>19</v>
      </c>
      <c r="J95" s="178">
        <v>1.1678900000000001</v>
      </c>
      <c r="N95" s="6" t="s">
        <v>185</v>
      </c>
      <c r="O95" s="6" t="s">
        <v>19</v>
      </c>
      <c r="P95" s="178">
        <v>1.2080789999999999</v>
      </c>
    </row>
    <row r="96" spans="2:16" x14ac:dyDescent="0.25">
      <c r="B96" s="6" t="s">
        <v>186</v>
      </c>
      <c r="C96" s="6" t="s">
        <v>19</v>
      </c>
      <c r="D96" s="178">
        <f t="shared" si="5"/>
        <v>0.47582999999999998</v>
      </c>
      <c r="H96" s="6" t="s">
        <v>186</v>
      </c>
      <c r="I96" s="6" t="s">
        <v>19</v>
      </c>
      <c r="J96" s="178">
        <v>0.478939</v>
      </c>
      <c r="N96" s="6" t="s">
        <v>186</v>
      </c>
      <c r="O96" s="6" t="s">
        <v>19</v>
      </c>
      <c r="P96" s="178">
        <v>0.45388400000000001</v>
      </c>
    </row>
    <row r="97" spans="2:17" x14ac:dyDescent="0.25">
      <c r="B97" s="6" t="s">
        <v>187</v>
      </c>
      <c r="C97" s="6" t="s">
        <v>19</v>
      </c>
      <c r="D97" s="178">
        <f t="shared" si="5"/>
        <v>0.89986200000000005</v>
      </c>
      <c r="H97" s="6" t="s">
        <v>187</v>
      </c>
      <c r="I97" s="6" t="s">
        <v>19</v>
      </c>
      <c r="J97" s="178">
        <v>0.94203899999999996</v>
      </c>
      <c r="N97" s="6" t="s">
        <v>187</v>
      </c>
      <c r="O97" s="6" t="s">
        <v>19</v>
      </c>
      <c r="P97" s="178">
        <v>0.85293399999999997</v>
      </c>
    </row>
    <row r="98" spans="2:17" x14ac:dyDescent="0.25">
      <c r="B98" s="6" t="s">
        <v>188</v>
      </c>
      <c r="C98" s="6" t="s">
        <v>19</v>
      </c>
      <c r="D98" s="178">
        <f t="shared" si="5"/>
        <v>0.65314799999999995</v>
      </c>
      <c r="H98" s="6" t="s">
        <v>188</v>
      </c>
      <c r="I98" s="6" t="s">
        <v>19</v>
      </c>
      <c r="J98" s="178">
        <v>0.67868399999999995</v>
      </c>
      <c r="N98" s="6" t="s">
        <v>188</v>
      </c>
      <c r="O98" s="6" t="s">
        <v>19</v>
      </c>
      <c r="P98" s="178">
        <v>0.62218600000000002</v>
      </c>
    </row>
    <row r="99" spans="2:17" x14ac:dyDescent="0.25">
      <c r="B99" s="6" t="s">
        <v>189</v>
      </c>
      <c r="C99" s="6" t="s">
        <v>19</v>
      </c>
      <c r="D99" s="178">
        <f t="shared" si="5"/>
        <v>1.55301</v>
      </c>
      <c r="H99" s="6" t="s">
        <v>189</v>
      </c>
      <c r="I99" s="6" t="s">
        <v>19</v>
      </c>
      <c r="J99" s="178">
        <v>1.6207229999999999</v>
      </c>
      <c r="N99" s="6" t="s">
        <v>189</v>
      </c>
      <c r="O99" s="6" t="s">
        <v>19</v>
      </c>
      <c r="P99" s="178">
        <v>1.47512</v>
      </c>
    </row>
    <row r="100" spans="2:17" x14ac:dyDescent="0.25">
      <c r="B100" s="6" t="s">
        <v>82</v>
      </c>
      <c r="C100" s="6" t="s">
        <v>83</v>
      </c>
      <c r="D100" s="184">
        <f t="shared" si="5"/>
        <v>150</v>
      </c>
      <c r="E100" s="184"/>
      <c r="H100" s="6" t="s">
        <v>82</v>
      </c>
      <c r="I100" s="6" t="s">
        <v>83</v>
      </c>
      <c r="J100" s="184">
        <v>150</v>
      </c>
      <c r="K100" s="184"/>
      <c r="N100" s="6" t="s">
        <v>82</v>
      </c>
      <c r="O100" s="6" t="s">
        <v>83</v>
      </c>
      <c r="P100" s="184">
        <v>150</v>
      </c>
      <c r="Q100" s="184"/>
    </row>
    <row r="101" spans="2:17" x14ac:dyDescent="0.25">
      <c r="B101" s="6" t="s">
        <v>84</v>
      </c>
      <c r="C101" s="6" t="s">
        <v>83</v>
      </c>
      <c r="D101" s="184">
        <f t="shared" si="5"/>
        <v>120.8</v>
      </c>
      <c r="E101" s="184"/>
      <c r="H101" s="6" t="s">
        <v>84</v>
      </c>
      <c r="I101" s="6" t="s">
        <v>83</v>
      </c>
      <c r="J101" s="184">
        <v>120.8</v>
      </c>
      <c r="K101" s="184"/>
      <c r="N101" s="6" t="s">
        <v>84</v>
      </c>
      <c r="O101" s="6" t="s">
        <v>83</v>
      </c>
      <c r="P101" s="184">
        <v>120.8</v>
      </c>
      <c r="Q101" s="184"/>
    </row>
    <row r="102" spans="2:17" x14ac:dyDescent="0.25">
      <c r="B102" s="6" t="s">
        <v>85</v>
      </c>
      <c r="C102" s="6" t="s">
        <v>83</v>
      </c>
      <c r="D102" s="184">
        <f t="shared" si="5"/>
        <v>150</v>
      </c>
      <c r="E102" s="184"/>
      <c r="H102" s="6" t="s">
        <v>85</v>
      </c>
      <c r="I102" s="6" t="s">
        <v>83</v>
      </c>
      <c r="J102" s="184">
        <v>150</v>
      </c>
      <c r="K102" s="184"/>
      <c r="N102" s="6" t="s">
        <v>85</v>
      </c>
      <c r="O102" s="6" t="s">
        <v>83</v>
      </c>
      <c r="P102" s="184">
        <v>150</v>
      </c>
      <c r="Q102" s="184"/>
    </row>
    <row r="103" spans="2:17" x14ac:dyDescent="0.25">
      <c r="B103" s="6" t="s">
        <v>86</v>
      </c>
      <c r="C103" s="6" t="s">
        <v>83</v>
      </c>
      <c r="D103" s="184">
        <f t="shared" si="5"/>
        <v>40</v>
      </c>
      <c r="E103" s="184"/>
      <c r="H103" s="6" t="s">
        <v>86</v>
      </c>
      <c r="I103" s="6" t="s">
        <v>83</v>
      </c>
      <c r="J103" s="184">
        <v>40</v>
      </c>
      <c r="K103" s="184"/>
      <c r="N103" s="6" t="s">
        <v>86</v>
      </c>
      <c r="O103" s="6" t="s">
        <v>83</v>
      </c>
      <c r="P103" s="184">
        <v>40</v>
      </c>
      <c r="Q103" s="184"/>
    </row>
    <row r="104" spans="2:17" x14ac:dyDescent="0.25">
      <c r="B104" s="15" t="s">
        <v>87</v>
      </c>
      <c r="C104" s="15" t="s">
        <v>83</v>
      </c>
      <c r="D104" s="179">
        <f t="shared" si="5"/>
        <v>0.3</v>
      </c>
      <c r="H104" s="15" t="s">
        <v>87</v>
      </c>
      <c r="I104" s="15" t="s">
        <v>83</v>
      </c>
      <c r="J104" s="179">
        <v>0.3</v>
      </c>
      <c r="N104" s="15" t="s">
        <v>87</v>
      </c>
      <c r="O104" s="15" t="s">
        <v>83</v>
      </c>
      <c r="P104" s="179">
        <v>0.3</v>
      </c>
    </row>
    <row r="105" spans="2:17" x14ac:dyDescent="0.25">
      <c r="B105" s="6" t="s">
        <v>88</v>
      </c>
      <c r="C105" s="6" t="s">
        <v>83</v>
      </c>
      <c r="D105" s="184">
        <f t="shared" si="5"/>
        <v>1</v>
      </c>
      <c r="E105" s="184"/>
      <c r="H105" s="6" t="s">
        <v>88</v>
      </c>
      <c r="I105" s="6" t="s">
        <v>83</v>
      </c>
      <c r="J105" s="184">
        <v>1</v>
      </c>
      <c r="K105" s="184"/>
      <c r="N105" s="6" t="s">
        <v>88</v>
      </c>
      <c r="O105" s="6" t="s">
        <v>83</v>
      </c>
      <c r="P105" s="184">
        <v>1</v>
      </c>
      <c r="Q105" s="184"/>
    </row>
    <row r="106" spans="2:17" hidden="1" x14ac:dyDescent="0.25">
      <c r="B106" s="6" t="s">
        <v>89</v>
      </c>
      <c r="C106" s="6" t="s">
        <v>90</v>
      </c>
      <c r="D106" s="185">
        <f t="shared" si="5"/>
        <v>12000</v>
      </c>
      <c r="E106" s="185"/>
      <c r="H106" s="6" t="s">
        <v>89</v>
      </c>
      <c r="I106" s="6" t="s">
        <v>90</v>
      </c>
      <c r="J106" s="185">
        <v>12000</v>
      </c>
      <c r="K106" s="185"/>
      <c r="N106" s="6" t="s">
        <v>89</v>
      </c>
      <c r="O106" s="6" t="s">
        <v>90</v>
      </c>
      <c r="P106" s="185">
        <v>12000</v>
      </c>
      <c r="Q106" s="185"/>
    </row>
    <row r="107" spans="2:17" hidden="1" x14ac:dyDescent="0.25">
      <c r="B107" s="6" t="s">
        <v>91</v>
      </c>
      <c r="C107" s="6" t="s">
        <v>90</v>
      </c>
      <c r="D107" s="185">
        <f t="shared" si="5"/>
        <v>1500</v>
      </c>
      <c r="E107" s="185"/>
      <c r="H107" s="6" t="s">
        <v>91</v>
      </c>
      <c r="I107" s="6" t="s">
        <v>90</v>
      </c>
      <c r="J107" s="185">
        <v>1500</v>
      </c>
      <c r="K107" s="185"/>
      <c r="N107" s="6" t="s">
        <v>91</v>
      </c>
      <c r="O107" s="6" t="s">
        <v>90</v>
      </c>
      <c r="P107" s="185">
        <v>1500</v>
      </c>
      <c r="Q107" s="185"/>
    </row>
    <row r="108" spans="2:17" hidden="1" x14ac:dyDescent="0.25">
      <c r="B108" s="6" t="s">
        <v>92</v>
      </c>
      <c r="C108" s="6" t="s">
        <v>90</v>
      </c>
      <c r="D108" s="185">
        <f t="shared" si="5"/>
        <v>70</v>
      </c>
      <c r="E108" s="185"/>
      <c r="H108" s="6" t="s">
        <v>92</v>
      </c>
      <c r="I108" s="6" t="s">
        <v>90</v>
      </c>
      <c r="J108" s="185">
        <v>70</v>
      </c>
      <c r="K108" s="185"/>
      <c r="N108" s="6" t="s">
        <v>92</v>
      </c>
      <c r="O108" s="6" t="s">
        <v>90</v>
      </c>
      <c r="P108" s="185">
        <v>70</v>
      </c>
      <c r="Q108" s="185"/>
    </row>
    <row r="109" spans="2:17" hidden="1" x14ac:dyDescent="0.25">
      <c r="B109" s="6" t="s">
        <v>93</v>
      </c>
      <c r="C109" s="6" t="s">
        <v>83</v>
      </c>
      <c r="D109" s="178">
        <f t="shared" si="5"/>
        <v>5</v>
      </c>
      <c r="H109" s="6" t="s">
        <v>93</v>
      </c>
      <c r="I109" s="6" t="s">
        <v>83</v>
      </c>
      <c r="J109" s="178">
        <v>5</v>
      </c>
      <c r="N109" s="6" t="s">
        <v>93</v>
      </c>
      <c r="O109" s="6" t="s">
        <v>83</v>
      </c>
      <c r="P109" s="178">
        <v>5</v>
      </c>
    </row>
    <row r="110" spans="2:17" hidden="1" x14ac:dyDescent="0.25">
      <c r="B110" s="6" t="s">
        <v>94</v>
      </c>
      <c r="C110" s="6" t="s">
        <v>83</v>
      </c>
      <c r="D110" s="178">
        <f t="shared" si="5"/>
        <v>2</v>
      </c>
      <c r="H110" s="6" t="s">
        <v>94</v>
      </c>
      <c r="I110" s="6" t="s">
        <v>83</v>
      </c>
      <c r="J110" s="178">
        <v>2</v>
      </c>
      <c r="N110" s="6" t="s">
        <v>94</v>
      </c>
      <c r="O110" s="6" t="s">
        <v>83</v>
      </c>
      <c r="P110" s="178">
        <v>2</v>
      </c>
    </row>
    <row r="111" spans="2:17" hidden="1" x14ac:dyDescent="0.25">
      <c r="B111" s="6" t="s">
        <v>95</v>
      </c>
      <c r="C111" s="6" t="s">
        <v>83</v>
      </c>
      <c r="D111" s="178">
        <f t="shared" si="5"/>
        <v>8</v>
      </c>
      <c r="H111" s="6" t="s">
        <v>95</v>
      </c>
      <c r="I111" s="6" t="s">
        <v>83</v>
      </c>
      <c r="J111" s="178">
        <v>8</v>
      </c>
      <c r="N111" s="6" t="s">
        <v>95</v>
      </c>
      <c r="O111" s="6" t="s">
        <v>83</v>
      </c>
      <c r="P111" s="178">
        <v>8</v>
      </c>
    </row>
    <row r="112" spans="2:17" hidden="1" x14ac:dyDescent="0.25">
      <c r="B112" s="6" t="s">
        <v>96</v>
      </c>
      <c r="C112" s="6" t="s">
        <v>83</v>
      </c>
      <c r="D112" s="178">
        <f t="shared" si="5"/>
        <v>40</v>
      </c>
      <c r="H112" s="6" t="s">
        <v>96</v>
      </c>
      <c r="I112" s="6" t="s">
        <v>83</v>
      </c>
      <c r="J112" s="178">
        <v>40</v>
      </c>
      <c r="N112" s="6" t="s">
        <v>96</v>
      </c>
      <c r="O112" s="6" t="s">
        <v>83</v>
      </c>
      <c r="P112" s="178">
        <v>40</v>
      </c>
    </row>
    <row r="113" spans="2:17" hidden="1" x14ac:dyDescent="0.25">
      <c r="B113" s="6" t="s">
        <v>97</v>
      </c>
      <c r="C113" s="6" t="s">
        <v>83</v>
      </c>
      <c r="D113" s="178">
        <f t="shared" si="5"/>
        <v>0</v>
      </c>
      <c r="H113" s="6" t="s">
        <v>97</v>
      </c>
      <c r="I113" s="6" t="s">
        <v>83</v>
      </c>
      <c r="J113" s="178">
        <v>0</v>
      </c>
      <c r="N113" s="6" t="s">
        <v>97</v>
      </c>
      <c r="O113" s="6" t="s">
        <v>83</v>
      </c>
      <c r="P113" s="178">
        <v>0</v>
      </c>
    </row>
    <row r="114" spans="2:17" hidden="1" x14ac:dyDescent="0.25">
      <c r="B114" s="6" t="s">
        <v>98</v>
      </c>
      <c r="C114" s="6" t="s">
        <v>83</v>
      </c>
      <c r="D114" s="178">
        <f t="shared" si="5"/>
        <v>24</v>
      </c>
      <c r="H114" s="6" t="s">
        <v>98</v>
      </c>
      <c r="I114" s="6" t="s">
        <v>83</v>
      </c>
      <c r="J114" s="178">
        <v>24</v>
      </c>
      <c r="N114" s="6" t="s">
        <v>98</v>
      </c>
      <c r="O114" s="6" t="s">
        <v>83</v>
      </c>
      <c r="P114" s="178">
        <v>24</v>
      </c>
    </row>
    <row r="115" spans="2:17" hidden="1" x14ac:dyDescent="0.25">
      <c r="B115" s="6" t="s">
        <v>99</v>
      </c>
      <c r="C115" s="6" t="s">
        <v>83</v>
      </c>
      <c r="D115" s="178">
        <f t="shared" si="5"/>
        <v>10</v>
      </c>
      <c r="H115" s="6" t="s">
        <v>99</v>
      </c>
      <c r="I115" s="6" t="s">
        <v>83</v>
      </c>
      <c r="J115" s="178">
        <v>10</v>
      </c>
      <c r="N115" s="6" t="s">
        <v>99</v>
      </c>
      <c r="O115" s="6" t="s">
        <v>83</v>
      </c>
      <c r="P115" s="178">
        <v>10</v>
      </c>
    </row>
    <row r="116" spans="2:17" s="30" customFormat="1" hidden="1" x14ac:dyDescent="0.25">
      <c r="B116" s="6" t="s">
        <v>100</v>
      </c>
      <c r="C116" s="6" t="s">
        <v>83</v>
      </c>
      <c r="D116" s="178">
        <f t="shared" si="5"/>
        <v>0.2</v>
      </c>
      <c r="E116" s="178"/>
      <c r="H116" s="6" t="s">
        <v>100</v>
      </c>
      <c r="I116" s="6" t="s">
        <v>83</v>
      </c>
      <c r="J116" s="178">
        <v>0.2</v>
      </c>
      <c r="K116" s="178"/>
      <c r="N116" s="6" t="s">
        <v>100</v>
      </c>
      <c r="O116" s="6" t="s">
        <v>83</v>
      </c>
      <c r="P116" s="178">
        <v>0.2</v>
      </c>
      <c r="Q116" s="178"/>
    </row>
    <row r="117" spans="2:17" s="30" customFormat="1" hidden="1" x14ac:dyDescent="0.25">
      <c r="B117" s="6" t="s">
        <v>101</v>
      </c>
      <c r="C117" s="6" t="s">
        <v>83</v>
      </c>
      <c r="D117" s="178">
        <f t="shared" si="5"/>
        <v>1</v>
      </c>
      <c r="E117" s="178"/>
      <c r="H117" s="6" t="s">
        <v>101</v>
      </c>
      <c r="I117" s="6" t="s">
        <v>83</v>
      </c>
      <c r="J117" s="178">
        <v>1</v>
      </c>
      <c r="K117" s="178"/>
      <c r="N117" s="6" t="s">
        <v>101</v>
      </c>
      <c r="O117" s="6" t="s">
        <v>83</v>
      </c>
      <c r="P117" s="178">
        <v>1</v>
      </c>
      <c r="Q117" s="178"/>
    </row>
    <row r="118" spans="2:17" s="30" customFormat="1" hidden="1" x14ac:dyDescent="0.25">
      <c r="B118" s="6" t="s">
        <v>102</v>
      </c>
      <c r="C118" s="6" t="s">
        <v>83</v>
      </c>
      <c r="D118" s="178">
        <f t="shared" si="5"/>
        <v>0.04</v>
      </c>
      <c r="E118" s="178"/>
      <c r="H118" s="6" t="s">
        <v>102</v>
      </c>
      <c r="I118" s="6" t="s">
        <v>83</v>
      </c>
      <c r="J118" s="178">
        <v>0.04</v>
      </c>
      <c r="K118" s="178"/>
      <c r="N118" s="6" t="s">
        <v>102</v>
      </c>
      <c r="O118" s="6" t="s">
        <v>83</v>
      </c>
      <c r="P118" s="178">
        <v>0.04</v>
      </c>
      <c r="Q118" s="178"/>
    </row>
    <row r="119" spans="2:17" s="30" customFormat="1" hidden="1" x14ac:dyDescent="0.25">
      <c r="B119" s="6" t="s">
        <v>103</v>
      </c>
      <c r="C119" s="6" t="s">
        <v>104</v>
      </c>
      <c r="D119" s="178">
        <f t="shared" si="5"/>
        <v>44.125463000000003</v>
      </c>
      <c r="E119" s="178"/>
      <c r="H119" s="6" t="s">
        <v>103</v>
      </c>
      <c r="I119" s="6" t="s">
        <v>104</v>
      </c>
      <c r="J119" s="178">
        <v>43.972386999999998</v>
      </c>
      <c r="K119" s="178"/>
      <c r="N119" s="6" t="s">
        <v>103</v>
      </c>
      <c r="O119" s="6" t="s">
        <v>104</v>
      </c>
      <c r="P119" s="178">
        <v>40.629187999999999</v>
      </c>
      <c r="Q119" s="178"/>
    </row>
    <row r="120" spans="2:17" s="30" customFormat="1" hidden="1" x14ac:dyDescent="0.25">
      <c r="B120" s="6" t="s">
        <v>105</v>
      </c>
      <c r="C120" s="6" t="s">
        <v>106</v>
      </c>
      <c r="D120" s="178">
        <f t="shared" si="5"/>
        <v>557.50099999999998</v>
      </c>
      <c r="E120" s="178"/>
      <c r="H120" s="6" t="s">
        <v>105</v>
      </c>
      <c r="I120" s="6" t="s">
        <v>106</v>
      </c>
      <c r="J120" s="178">
        <v>531.96735000000001</v>
      </c>
      <c r="K120" s="178"/>
      <c r="N120" s="6" t="s">
        <v>105</v>
      </c>
      <c r="O120" s="6" t="s">
        <v>106</v>
      </c>
      <c r="P120" s="178">
        <v>567.88595599999996</v>
      </c>
      <c r="Q120" s="178"/>
    </row>
    <row r="121" spans="2:17" s="30" customFormat="1" hidden="1" x14ac:dyDescent="0.25">
      <c r="B121" s="6" t="s">
        <v>107</v>
      </c>
      <c r="C121" s="6"/>
      <c r="D121" s="178">
        <f t="shared" si="5"/>
        <v>4.6826999999999996</v>
      </c>
      <c r="E121" s="178"/>
      <c r="H121" s="6" t="s">
        <v>107</v>
      </c>
      <c r="I121" s="6"/>
      <c r="J121" s="178">
        <v>5.5508559999999996</v>
      </c>
      <c r="K121" s="178"/>
      <c r="N121" s="6" t="s">
        <v>107</v>
      </c>
      <c r="O121" s="6"/>
      <c r="P121" s="178">
        <v>5.7828189999999999</v>
      </c>
      <c r="Q121" s="178"/>
    </row>
    <row r="122" spans="2:17" s="30" customFormat="1" hidden="1" x14ac:dyDescent="0.25">
      <c r="B122" s="6" t="s">
        <v>203</v>
      </c>
      <c r="C122" s="6" t="s">
        <v>83</v>
      </c>
      <c r="D122" s="178">
        <f t="shared" si="5"/>
        <v>0</v>
      </c>
      <c r="E122" s="178"/>
      <c r="H122" s="6" t="s">
        <v>203</v>
      </c>
      <c r="I122" s="6" t="s">
        <v>83</v>
      </c>
      <c r="J122" s="178">
        <v>0</v>
      </c>
      <c r="K122" s="178"/>
      <c r="N122" s="6" t="s">
        <v>203</v>
      </c>
      <c r="O122" s="6" t="s">
        <v>83</v>
      </c>
      <c r="P122" s="178">
        <v>0</v>
      </c>
      <c r="Q122" s="178"/>
    </row>
    <row r="123" spans="2:17" hidden="1" x14ac:dyDescent="0.25">
      <c r="B123" s="6" t="s">
        <v>204</v>
      </c>
      <c r="C123" s="6" t="s">
        <v>83</v>
      </c>
      <c r="D123" s="178">
        <f t="shared" si="5"/>
        <v>0</v>
      </c>
      <c r="H123" s="6" t="s">
        <v>204</v>
      </c>
      <c r="I123" s="6" t="s">
        <v>83</v>
      </c>
      <c r="J123" s="178">
        <v>0</v>
      </c>
      <c r="N123" s="6" t="s">
        <v>204</v>
      </c>
      <c r="O123" s="6" t="s">
        <v>83</v>
      </c>
      <c r="P123" s="178">
        <v>0</v>
      </c>
    </row>
    <row r="124" spans="2:17" hidden="1" x14ac:dyDescent="0.25">
      <c r="B124" s="6" t="s">
        <v>205</v>
      </c>
      <c r="C124" s="6" t="s">
        <v>83</v>
      </c>
      <c r="D124" s="178">
        <f t="shared" ref="D124:D148" si="6">IFERROR(VLOOKUP(B124,raw_2,6,FALSE),0)</f>
        <v>0</v>
      </c>
      <c r="H124" s="6" t="s">
        <v>205</v>
      </c>
      <c r="I124" s="6" t="s">
        <v>83</v>
      </c>
      <c r="J124" s="178">
        <v>0</v>
      </c>
      <c r="N124" s="6" t="s">
        <v>205</v>
      </c>
      <c r="O124" s="6" t="s">
        <v>83</v>
      </c>
      <c r="P124" s="178">
        <v>0</v>
      </c>
    </row>
    <row r="125" spans="2:17" hidden="1" x14ac:dyDescent="0.25">
      <c r="B125" s="6" t="s">
        <v>191</v>
      </c>
      <c r="C125" s="6" t="s">
        <v>83</v>
      </c>
      <c r="D125" s="178">
        <f t="shared" si="6"/>
        <v>0</v>
      </c>
      <c r="H125" s="6" t="s">
        <v>191</v>
      </c>
      <c r="I125" s="6" t="s">
        <v>83</v>
      </c>
      <c r="J125" s="178">
        <v>0</v>
      </c>
      <c r="N125" s="6" t="s">
        <v>191</v>
      </c>
      <c r="O125" s="6" t="s">
        <v>83</v>
      </c>
      <c r="P125" s="178">
        <v>0</v>
      </c>
    </row>
    <row r="126" spans="2:17" hidden="1" x14ac:dyDescent="0.25">
      <c r="B126" s="6" t="s">
        <v>192</v>
      </c>
      <c r="C126" s="6" t="s">
        <v>83</v>
      </c>
      <c r="D126" s="178">
        <f t="shared" si="6"/>
        <v>0</v>
      </c>
      <c r="H126" s="6" t="s">
        <v>192</v>
      </c>
      <c r="I126" s="6" t="s">
        <v>83</v>
      </c>
      <c r="J126" s="178">
        <v>0</v>
      </c>
      <c r="N126" s="6" t="s">
        <v>192</v>
      </c>
      <c r="O126" s="6" t="s">
        <v>83</v>
      </c>
      <c r="P126" s="178">
        <v>0</v>
      </c>
    </row>
    <row r="127" spans="2:17" hidden="1" x14ac:dyDescent="0.25">
      <c r="B127" s="6" t="s">
        <v>193</v>
      </c>
      <c r="C127" s="6" t="s">
        <v>83</v>
      </c>
      <c r="D127" s="178">
        <f t="shared" si="6"/>
        <v>0</v>
      </c>
      <c r="H127" s="6" t="s">
        <v>193</v>
      </c>
      <c r="I127" s="6" t="s">
        <v>83</v>
      </c>
      <c r="J127" s="178">
        <v>0</v>
      </c>
      <c r="N127" s="6" t="s">
        <v>193</v>
      </c>
      <c r="O127" s="6" t="s">
        <v>83</v>
      </c>
      <c r="P127" s="178">
        <v>0</v>
      </c>
    </row>
    <row r="128" spans="2:17" hidden="1" x14ac:dyDescent="0.25">
      <c r="B128" s="6" t="s">
        <v>194</v>
      </c>
      <c r="C128" s="6" t="s">
        <v>83</v>
      </c>
      <c r="D128" s="178">
        <f t="shared" si="6"/>
        <v>0</v>
      </c>
      <c r="H128" s="6" t="s">
        <v>194</v>
      </c>
      <c r="I128" s="6" t="s">
        <v>83</v>
      </c>
      <c r="J128" s="178">
        <v>0</v>
      </c>
      <c r="N128" s="6" t="s">
        <v>194</v>
      </c>
      <c r="O128" s="6" t="s">
        <v>83</v>
      </c>
      <c r="P128" s="178">
        <v>0</v>
      </c>
    </row>
    <row r="129" spans="2:16" hidden="1" x14ac:dyDescent="0.25">
      <c r="B129" s="6" t="s">
        <v>195</v>
      </c>
      <c r="C129" s="6" t="s">
        <v>83</v>
      </c>
      <c r="D129" s="178">
        <f t="shared" si="6"/>
        <v>0</v>
      </c>
      <c r="H129" s="6" t="s">
        <v>195</v>
      </c>
      <c r="I129" s="6" t="s">
        <v>83</v>
      </c>
      <c r="J129" s="178">
        <v>0</v>
      </c>
      <c r="N129" s="6" t="s">
        <v>195</v>
      </c>
      <c r="O129" s="6" t="s">
        <v>83</v>
      </c>
      <c r="P129" s="178">
        <v>0</v>
      </c>
    </row>
    <row r="130" spans="2:16" hidden="1" x14ac:dyDescent="0.25">
      <c r="B130" s="6" t="s">
        <v>196</v>
      </c>
      <c r="C130" s="6" t="s">
        <v>83</v>
      </c>
      <c r="D130" s="178">
        <f t="shared" si="6"/>
        <v>0</v>
      </c>
      <c r="H130" s="6" t="s">
        <v>196</v>
      </c>
      <c r="I130" s="6" t="s">
        <v>83</v>
      </c>
      <c r="J130" s="178">
        <v>0</v>
      </c>
      <c r="N130" s="6" t="s">
        <v>196</v>
      </c>
      <c r="O130" s="6" t="s">
        <v>83</v>
      </c>
      <c r="P130" s="178">
        <v>0</v>
      </c>
    </row>
    <row r="131" spans="2:16" hidden="1" x14ac:dyDescent="0.25">
      <c r="B131" s="6" t="s">
        <v>197</v>
      </c>
      <c r="C131" s="6" t="s">
        <v>83</v>
      </c>
      <c r="D131" s="178">
        <f t="shared" si="6"/>
        <v>0</v>
      </c>
      <c r="H131" s="6" t="s">
        <v>197</v>
      </c>
      <c r="I131" s="6" t="s">
        <v>83</v>
      </c>
      <c r="J131" s="178">
        <v>0</v>
      </c>
      <c r="N131" s="6" t="s">
        <v>197</v>
      </c>
      <c r="O131" s="6" t="s">
        <v>83</v>
      </c>
      <c r="P131" s="178">
        <v>0</v>
      </c>
    </row>
    <row r="132" spans="2:16" hidden="1" x14ac:dyDescent="0.25">
      <c r="B132" s="6" t="s">
        <v>198</v>
      </c>
      <c r="C132" s="6" t="s">
        <v>83</v>
      </c>
      <c r="D132" s="178">
        <f t="shared" si="6"/>
        <v>0</v>
      </c>
      <c r="H132" s="6" t="s">
        <v>198</v>
      </c>
      <c r="I132" s="6" t="s">
        <v>83</v>
      </c>
      <c r="J132" s="178">
        <v>0</v>
      </c>
      <c r="N132" s="6" t="s">
        <v>198</v>
      </c>
      <c r="O132" s="6" t="s">
        <v>83</v>
      </c>
      <c r="P132" s="178">
        <v>0</v>
      </c>
    </row>
    <row r="133" spans="2:16" hidden="1" x14ac:dyDescent="0.25">
      <c r="B133" s="6" t="s">
        <v>199</v>
      </c>
      <c r="C133" s="6" t="s">
        <v>83</v>
      </c>
      <c r="D133" s="178">
        <f t="shared" si="6"/>
        <v>0</v>
      </c>
      <c r="H133" s="6" t="s">
        <v>199</v>
      </c>
      <c r="I133" s="6" t="s">
        <v>83</v>
      </c>
      <c r="J133" s="178">
        <v>0</v>
      </c>
      <c r="N133" s="6" t="s">
        <v>199</v>
      </c>
      <c r="O133" s="6" t="s">
        <v>83</v>
      </c>
      <c r="P133" s="178">
        <v>0</v>
      </c>
    </row>
    <row r="134" spans="2:16" hidden="1" x14ac:dyDescent="0.25">
      <c r="B134" s="6" t="s">
        <v>190</v>
      </c>
      <c r="C134" s="6" t="s">
        <v>206</v>
      </c>
      <c r="D134" s="178">
        <f t="shared" si="6"/>
        <v>0</v>
      </c>
      <c r="H134" s="6" t="s">
        <v>190</v>
      </c>
      <c r="I134" s="6" t="s">
        <v>206</v>
      </c>
      <c r="J134" s="178">
        <v>0</v>
      </c>
      <c r="N134" s="6" t="s">
        <v>190</v>
      </c>
      <c r="O134" s="6" t="s">
        <v>206</v>
      </c>
      <c r="P134" s="178">
        <v>0</v>
      </c>
    </row>
    <row r="135" spans="2:16" hidden="1" x14ac:dyDescent="0.25">
      <c r="B135" s="6" t="s">
        <v>207</v>
      </c>
      <c r="C135" s="6" t="s">
        <v>208</v>
      </c>
      <c r="D135" s="178">
        <f t="shared" si="6"/>
        <v>0</v>
      </c>
      <c r="H135" s="6" t="s">
        <v>207</v>
      </c>
      <c r="I135" s="6" t="s">
        <v>208</v>
      </c>
      <c r="J135" s="178">
        <v>0</v>
      </c>
      <c r="N135" s="6" t="s">
        <v>207</v>
      </c>
      <c r="O135" s="6" t="s">
        <v>208</v>
      </c>
      <c r="P135" s="178">
        <v>0</v>
      </c>
    </row>
    <row r="136" spans="2:16" hidden="1" x14ac:dyDescent="0.25">
      <c r="B136" s="6" t="s">
        <v>209</v>
      </c>
      <c r="C136" s="6" t="s">
        <v>210</v>
      </c>
      <c r="D136" s="178">
        <f t="shared" si="6"/>
        <v>0</v>
      </c>
      <c r="H136" s="6" t="s">
        <v>209</v>
      </c>
      <c r="I136" s="6" t="s">
        <v>210</v>
      </c>
      <c r="J136" s="178">
        <v>0</v>
      </c>
      <c r="N136" s="6" t="s">
        <v>209</v>
      </c>
      <c r="O136" s="6" t="s">
        <v>210</v>
      </c>
      <c r="P136" s="178">
        <v>0</v>
      </c>
    </row>
    <row r="137" spans="2:16" hidden="1" x14ac:dyDescent="0.25">
      <c r="B137" s="6" t="s">
        <v>211</v>
      </c>
      <c r="C137" s="6" t="s">
        <v>212</v>
      </c>
      <c r="D137" s="178">
        <f t="shared" si="6"/>
        <v>0</v>
      </c>
      <c r="H137" s="6" t="s">
        <v>211</v>
      </c>
      <c r="I137" s="6" t="s">
        <v>212</v>
      </c>
      <c r="J137" s="178">
        <v>0</v>
      </c>
      <c r="N137" s="6" t="s">
        <v>211</v>
      </c>
      <c r="O137" s="6" t="s">
        <v>212</v>
      </c>
      <c r="P137" s="178">
        <v>0</v>
      </c>
    </row>
    <row r="138" spans="2:16" hidden="1" x14ac:dyDescent="0.25">
      <c r="B138" s="6" t="s">
        <v>213</v>
      </c>
      <c r="C138" s="6" t="s">
        <v>212</v>
      </c>
      <c r="D138" s="178">
        <f t="shared" si="6"/>
        <v>0</v>
      </c>
      <c r="H138" s="6" t="s">
        <v>213</v>
      </c>
      <c r="I138" s="6" t="s">
        <v>212</v>
      </c>
      <c r="J138" s="178">
        <v>0</v>
      </c>
      <c r="N138" s="6" t="s">
        <v>213</v>
      </c>
      <c r="O138" s="6" t="s">
        <v>212</v>
      </c>
      <c r="P138" s="178">
        <v>0</v>
      </c>
    </row>
    <row r="139" spans="2:16" hidden="1" x14ac:dyDescent="0.25">
      <c r="B139" s="6" t="s">
        <v>214</v>
      </c>
      <c r="C139" s="6" t="s">
        <v>215</v>
      </c>
      <c r="D139" s="178">
        <f t="shared" si="6"/>
        <v>0</v>
      </c>
      <c r="H139" s="6" t="s">
        <v>214</v>
      </c>
      <c r="I139" s="6" t="s">
        <v>215</v>
      </c>
      <c r="J139" s="178">
        <v>0</v>
      </c>
      <c r="N139" s="6" t="s">
        <v>214</v>
      </c>
      <c r="O139" s="6" t="s">
        <v>215</v>
      </c>
      <c r="P139" s="178">
        <v>0</v>
      </c>
    </row>
    <row r="140" spans="2:16" hidden="1" x14ac:dyDescent="0.25">
      <c r="B140" s="6" t="s">
        <v>216</v>
      </c>
      <c r="C140" s="6" t="s">
        <v>215</v>
      </c>
      <c r="D140" s="178">
        <f t="shared" si="6"/>
        <v>0</v>
      </c>
      <c r="H140" s="6" t="s">
        <v>216</v>
      </c>
      <c r="I140" s="6" t="s">
        <v>215</v>
      </c>
      <c r="J140" s="178">
        <v>0</v>
      </c>
      <c r="N140" s="6" t="s">
        <v>216</v>
      </c>
      <c r="O140" s="6" t="s">
        <v>215</v>
      </c>
      <c r="P140" s="178">
        <v>0</v>
      </c>
    </row>
    <row r="141" spans="2:16" hidden="1" x14ac:dyDescent="0.25">
      <c r="B141" s="6" t="s">
        <v>217</v>
      </c>
      <c r="C141" s="6" t="s">
        <v>215</v>
      </c>
      <c r="D141" s="178">
        <f t="shared" si="6"/>
        <v>0</v>
      </c>
      <c r="H141" s="6" t="s">
        <v>217</v>
      </c>
      <c r="I141" s="6" t="s">
        <v>215</v>
      </c>
      <c r="J141" s="178">
        <v>0</v>
      </c>
      <c r="N141" s="6" t="s">
        <v>217</v>
      </c>
      <c r="O141" s="6" t="s">
        <v>215</v>
      </c>
      <c r="P141" s="178">
        <v>0</v>
      </c>
    </row>
    <row r="142" spans="2:16" hidden="1" x14ac:dyDescent="0.25">
      <c r="B142" s="6" t="s">
        <v>218</v>
      </c>
      <c r="C142" s="6" t="s">
        <v>215</v>
      </c>
      <c r="D142" s="178">
        <f t="shared" si="6"/>
        <v>0</v>
      </c>
      <c r="H142" s="6" t="s">
        <v>218</v>
      </c>
      <c r="I142" s="6" t="s">
        <v>215</v>
      </c>
      <c r="J142" s="178">
        <v>0</v>
      </c>
      <c r="N142" s="6" t="s">
        <v>218</v>
      </c>
      <c r="O142" s="6" t="s">
        <v>215</v>
      </c>
      <c r="P142" s="178">
        <v>0</v>
      </c>
    </row>
    <row r="143" spans="2:16" hidden="1" x14ac:dyDescent="0.25">
      <c r="B143" s="6" t="s">
        <v>219</v>
      </c>
      <c r="C143" s="6" t="s">
        <v>212</v>
      </c>
      <c r="D143" s="178">
        <f t="shared" si="6"/>
        <v>0</v>
      </c>
      <c r="H143" s="6" t="s">
        <v>219</v>
      </c>
      <c r="I143" s="6" t="s">
        <v>212</v>
      </c>
      <c r="J143" s="178">
        <v>1.3711329999999999</v>
      </c>
      <c r="N143" s="6" t="s">
        <v>219</v>
      </c>
      <c r="O143" s="6" t="s">
        <v>212</v>
      </c>
      <c r="P143" s="178">
        <v>0</v>
      </c>
    </row>
    <row r="144" spans="2:16" hidden="1" x14ac:dyDescent="0.25">
      <c r="B144" s="15" t="s">
        <v>220</v>
      </c>
      <c r="C144" s="15" t="s">
        <v>215</v>
      </c>
      <c r="D144" s="179">
        <f t="shared" si="6"/>
        <v>0</v>
      </c>
      <c r="H144" s="15" t="s">
        <v>220</v>
      </c>
      <c r="I144" s="15" t="s">
        <v>215</v>
      </c>
      <c r="J144" s="179">
        <v>0</v>
      </c>
      <c r="N144" s="15" t="s">
        <v>220</v>
      </c>
      <c r="O144" s="15" t="s">
        <v>215</v>
      </c>
      <c r="P144" s="179">
        <v>1.3711329999999999</v>
      </c>
    </row>
    <row r="145" spans="2:16" hidden="1" x14ac:dyDescent="0.25">
      <c r="B145" s="6" t="s">
        <v>221</v>
      </c>
      <c r="C145" s="6" t="s">
        <v>215</v>
      </c>
      <c r="D145" s="178">
        <f t="shared" si="6"/>
        <v>0</v>
      </c>
      <c r="H145" s="6" t="s">
        <v>221</v>
      </c>
      <c r="I145" s="6" t="s">
        <v>215</v>
      </c>
      <c r="J145" s="178">
        <v>0</v>
      </c>
      <c r="N145" s="6" t="s">
        <v>221</v>
      </c>
      <c r="O145" s="6" t="s">
        <v>215</v>
      </c>
      <c r="P145" s="178">
        <v>0</v>
      </c>
    </row>
    <row r="146" spans="2:16" hidden="1" x14ac:dyDescent="0.25">
      <c r="B146" s="6" t="s">
        <v>222</v>
      </c>
      <c r="C146" s="6" t="s">
        <v>215</v>
      </c>
      <c r="D146" s="178">
        <f t="shared" si="6"/>
        <v>0</v>
      </c>
      <c r="H146" s="6" t="s">
        <v>222</v>
      </c>
      <c r="I146" s="6" t="s">
        <v>215</v>
      </c>
      <c r="J146" s="178">
        <v>0</v>
      </c>
      <c r="N146" s="6" t="s">
        <v>222</v>
      </c>
      <c r="O146" s="6" t="s">
        <v>215</v>
      </c>
      <c r="P146" s="178">
        <v>0</v>
      </c>
    </row>
    <row r="147" spans="2:16" hidden="1" x14ac:dyDescent="0.25">
      <c r="B147" s="6" t="s">
        <v>223</v>
      </c>
      <c r="C147" s="6" t="s">
        <v>215</v>
      </c>
      <c r="D147" s="178">
        <f t="shared" si="6"/>
        <v>0</v>
      </c>
      <c r="H147" s="6" t="s">
        <v>223</v>
      </c>
      <c r="I147" s="6" t="s">
        <v>215</v>
      </c>
      <c r="J147" s="178">
        <v>0</v>
      </c>
      <c r="N147" s="6" t="s">
        <v>223</v>
      </c>
      <c r="O147" s="6" t="s">
        <v>215</v>
      </c>
      <c r="P147" s="178">
        <v>0</v>
      </c>
    </row>
    <row r="148" spans="2:16" hidden="1" x14ac:dyDescent="0.25">
      <c r="B148" s="6" t="s">
        <v>224</v>
      </c>
      <c r="C148" s="6" t="s">
        <v>212</v>
      </c>
      <c r="D148" s="178">
        <f t="shared" si="6"/>
        <v>0</v>
      </c>
      <c r="H148" s="6" t="s">
        <v>224</v>
      </c>
      <c r="I148" s="6" t="s">
        <v>212</v>
      </c>
      <c r="J148" s="178">
        <v>0</v>
      </c>
      <c r="N148" s="6" t="s">
        <v>224</v>
      </c>
      <c r="O148" s="6" t="s">
        <v>212</v>
      </c>
      <c r="P148" s="178">
        <v>0</v>
      </c>
    </row>
    <row r="149" spans="2:16" hidden="1" x14ac:dyDescent="0.25"/>
    <row r="158" spans="2:16" ht="16.5" thickBot="1" x14ac:dyDescent="0.3">
      <c r="B158" s="16"/>
      <c r="C158" s="16"/>
      <c r="D158" s="181"/>
      <c r="H158" s="16"/>
      <c r="I158" s="16"/>
      <c r="J158" s="181"/>
      <c r="N158" s="16"/>
      <c r="O158" s="16"/>
      <c r="P158" s="181"/>
    </row>
  </sheetData>
  <sheetProtection algorithmName="SHA-512" hashValue="PrtJlaNnkvV/u2yJmbJ2imx15gLFWVz7DHoMYgekFH6lb4Dyb3rwtzOYZo4BDIKgsPRXmJXUFUgBcXOS59RanA==" saltValue="TOsr/C5EeS8n5QSItYBp/g==" spinCount="100000" sheet="1" objects="1" scenarios="1"/>
  <sortState xmlns:xlrd2="http://schemas.microsoft.com/office/spreadsheetml/2017/richdata2" ref="A6:E20">
    <sortCondition descending="1" ref="C6:C20"/>
  </sortState>
  <mergeCells count="9">
    <mergeCell ref="A1:C1"/>
    <mergeCell ref="D2:E2"/>
    <mergeCell ref="D3:E3"/>
    <mergeCell ref="M1:O1"/>
    <mergeCell ref="P2:Q2"/>
    <mergeCell ref="P3:Q3"/>
    <mergeCell ref="G1:I1"/>
    <mergeCell ref="J2:K2"/>
    <mergeCell ref="J3:K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58"/>
  <sheetViews>
    <sheetView zoomScale="85" zoomScaleNormal="85" workbookViewId="0">
      <pane xSplit="1" ySplit="4" topLeftCell="B5" activePane="bottomRight" state="frozen"/>
      <selection activeCell="D1" sqref="D1:D1048576"/>
      <selection pane="topRight" activeCell="D1" sqref="D1:D1048576"/>
      <selection pane="bottomLeft" activeCell="D1" sqref="D1:D1048576"/>
      <selection pane="bottomRight" activeCell="D1" sqref="D1:D1048576"/>
    </sheetView>
  </sheetViews>
  <sheetFormatPr defaultRowHeight="15.75" x14ac:dyDescent="0.25"/>
  <cols>
    <col min="1" max="1" width="10.77734375" style="5" customWidth="1"/>
    <col min="2" max="2" width="28.33203125" style="6" customWidth="1"/>
    <col min="3" max="3" width="12.77734375" style="6" customWidth="1"/>
    <col min="4" max="4" width="12.77734375" style="178" customWidth="1"/>
    <col min="5" max="5" width="14.77734375" style="178" customWidth="1"/>
    <col min="7" max="7" width="10.77734375" style="5" customWidth="1"/>
    <col min="8" max="8" width="28.33203125" style="6" customWidth="1"/>
    <col min="9" max="9" width="12.77734375" style="6" customWidth="1"/>
    <col min="10" max="10" width="12.77734375" style="178" customWidth="1"/>
    <col min="11" max="11" width="14.77734375" style="178" customWidth="1"/>
    <col min="13" max="13" width="10.77734375" style="5" customWidth="1"/>
    <col min="14" max="14" width="28.33203125" style="6" customWidth="1"/>
    <col min="15" max="15" width="12.77734375" style="6" customWidth="1"/>
    <col min="16" max="16" width="12.77734375" style="178" customWidth="1"/>
    <col min="17" max="17" width="14.77734375" style="178" customWidth="1"/>
    <col min="19" max="19" width="10.77734375" style="5" customWidth="1"/>
    <col min="20" max="20" width="28.33203125" style="6" customWidth="1"/>
    <col min="21" max="21" width="12.77734375" style="6" customWidth="1"/>
    <col min="22" max="22" width="12.77734375" style="178" customWidth="1"/>
    <col min="23" max="23" width="14.77734375" style="178" customWidth="1"/>
  </cols>
  <sheetData>
    <row r="1" spans="1:23" ht="19.5" thickTop="1" thickBot="1" x14ac:dyDescent="0.3">
      <c r="A1" s="272" t="s">
        <v>266</v>
      </c>
      <c r="B1" s="273"/>
      <c r="C1" s="274"/>
      <c r="D1" s="193">
        <v>44483</v>
      </c>
      <c r="G1" s="272" t="s">
        <v>295</v>
      </c>
      <c r="H1" s="273"/>
      <c r="I1" s="274"/>
      <c r="J1" s="193">
        <v>44426</v>
      </c>
      <c r="M1" s="272" t="s">
        <v>295</v>
      </c>
      <c r="N1" s="273"/>
      <c r="O1" s="274"/>
      <c r="P1" s="193">
        <v>44391</v>
      </c>
      <c r="S1" s="272" t="s">
        <v>295</v>
      </c>
      <c r="T1" s="273"/>
      <c r="U1" s="274"/>
      <c r="V1" s="193">
        <v>44326</v>
      </c>
    </row>
    <row r="2" spans="1:23" ht="17.25" thickTop="1" thickBot="1" x14ac:dyDescent="0.3">
      <c r="A2"/>
      <c r="B2" s="5"/>
      <c r="C2" s="38"/>
      <c r="D2" s="275" t="s">
        <v>228</v>
      </c>
      <c r="E2" s="276"/>
      <c r="G2"/>
      <c r="H2" s="5"/>
      <c r="I2" s="38"/>
      <c r="J2" s="275" t="s">
        <v>296</v>
      </c>
      <c r="K2" s="276"/>
      <c r="M2"/>
      <c r="N2" s="5"/>
      <c r="O2" s="38"/>
      <c r="P2" s="275" t="s">
        <v>296</v>
      </c>
      <c r="Q2" s="276"/>
      <c r="S2"/>
      <c r="T2" s="5"/>
      <c r="U2" s="38"/>
      <c r="V2" s="275" t="s">
        <v>296</v>
      </c>
      <c r="W2" s="276"/>
    </row>
    <row r="3" spans="1:23" ht="16.5" thickBot="1" x14ac:dyDescent="0.3">
      <c r="A3"/>
      <c r="B3" s="7"/>
      <c r="C3" s="38"/>
      <c r="D3" s="277" t="s">
        <v>250</v>
      </c>
      <c r="E3" s="278"/>
      <c r="G3"/>
      <c r="H3" s="7"/>
      <c r="I3" s="38"/>
      <c r="J3" s="277" t="s">
        <v>297</v>
      </c>
      <c r="K3" s="278"/>
      <c r="M3"/>
      <c r="N3" s="7"/>
      <c r="O3" s="38"/>
      <c r="P3" s="277" t="s">
        <v>297</v>
      </c>
      <c r="Q3" s="278"/>
      <c r="S3"/>
      <c r="T3" s="7"/>
      <c r="U3" s="38"/>
      <c r="V3" s="277" t="s">
        <v>297</v>
      </c>
      <c r="W3" s="278"/>
    </row>
    <row r="4" spans="1:23" ht="31.5" x14ac:dyDescent="0.25">
      <c r="A4" s="3" t="s">
        <v>0</v>
      </c>
      <c r="B4" s="3" t="s">
        <v>1</v>
      </c>
      <c r="C4" s="4" t="s">
        <v>2</v>
      </c>
      <c r="D4" s="4" t="s">
        <v>3</v>
      </c>
      <c r="E4" s="4" t="s">
        <v>4</v>
      </c>
      <c r="G4" s="3" t="s">
        <v>0</v>
      </c>
      <c r="H4" s="3" t="s">
        <v>1</v>
      </c>
      <c r="I4" s="4" t="s">
        <v>298</v>
      </c>
      <c r="J4" s="4" t="s">
        <v>299</v>
      </c>
      <c r="K4" s="4" t="s">
        <v>300</v>
      </c>
      <c r="M4" s="3" t="s">
        <v>0</v>
      </c>
      <c r="N4" s="3" t="s">
        <v>1</v>
      </c>
      <c r="O4" s="4" t="s">
        <v>298</v>
      </c>
      <c r="P4" s="4" t="s">
        <v>299</v>
      </c>
      <c r="Q4" s="4" t="s">
        <v>300</v>
      </c>
      <c r="S4" s="3" t="s">
        <v>0</v>
      </c>
      <c r="T4" s="3" t="s">
        <v>1</v>
      </c>
      <c r="U4" s="4" t="s">
        <v>298</v>
      </c>
      <c r="V4" s="4" t="s">
        <v>299</v>
      </c>
      <c r="W4" s="4" t="s">
        <v>300</v>
      </c>
    </row>
    <row r="5" spans="1:23" x14ac:dyDescent="0.25">
      <c r="B5" s="6" t="s">
        <v>5</v>
      </c>
      <c r="C5" s="8"/>
      <c r="D5" s="9"/>
      <c r="E5" s="10"/>
      <c r="H5" s="6" t="s">
        <v>5</v>
      </c>
      <c r="I5" s="8"/>
      <c r="J5" s="9"/>
      <c r="K5" s="10"/>
      <c r="N5" s="6" t="s">
        <v>5</v>
      </c>
      <c r="O5" s="8"/>
      <c r="P5" s="9"/>
      <c r="Q5" s="10"/>
      <c r="T5" s="6" t="s">
        <v>5</v>
      </c>
      <c r="U5" s="8"/>
      <c r="V5" s="9"/>
      <c r="W5" s="10"/>
    </row>
    <row r="6" spans="1:23" x14ac:dyDescent="0.25">
      <c r="A6" s="5">
        <v>11132</v>
      </c>
      <c r="B6" s="6" t="s">
        <v>16</v>
      </c>
      <c r="C6" s="8">
        <f t="shared" ref="C6:C21" si="0">D6*10</f>
        <v>500.05</v>
      </c>
      <c r="D6" s="9">
        <f t="shared" ref="D6:D21" si="1">IFERROR(VLOOKUP(A6,raw_1,8,FALSE),0)</f>
        <v>50.005000000000003</v>
      </c>
      <c r="E6" s="10">
        <f t="shared" ref="E6:E21" si="2">IF(ISNA(VLOOKUP(B6,RMP_MFH,2,FALSE)),"N/A",VLOOKUP(B6,RMP_MFH,2,FALSE))</f>
        <v>404</v>
      </c>
      <c r="G6" s="5">
        <v>14320</v>
      </c>
      <c r="H6" s="6" t="s">
        <v>269</v>
      </c>
      <c r="I6" s="8">
        <v>578.15</v>
      </c>
      <c r="J6" s="9">
        <v>57.814999999999998</v>
      </c>
      <c r="K6" s="10">
        <v>418</v>
      </c>
      <c r="M6" s="5">
        <v>14320</v>
      </c>
      <c r="N6" s="6" t="s">
        <v>269</v>
      </c>
      <c r="O6" s="8">
        <v>408.15</v>
      </c>
      <c r="P6" s="9">
        <v>40.814999999999998</v>
      </c>
      <c r="Q6" s="10">
        <v>425</v>
      </c>
      <c r="S6" s="5">
        <v>14320</v>
      </c>
      <c r="T6" s="6" t="s">
        <v>269</v>
      </c>
      <c r="U6" s="8">
        <v>541.95265999999992</v>
      </c>
      <c r="V6" s="9">
        <v>54.195265999999997</v>
      </c>
      <c r="W6" s="10">
        <v>343.86</v>
      </c>
    </row>
    <row r="7" spans="1:23" x14ac:dyDescent="0.25">
      <c r="A7" s="5">
        <v>20550</v>
      </c>
      <c r="B7" s="6" t="s">
        <v>109</v>
      </c>
      <c r="C7" s="8">
        <f t="shared" si="0"/>
        <v>200</v>
      </c>
      <c r="D7" s="9">
        <f t="shared" si="1"/>
        <v>20</v>
      </c>
      <c r="E7" s="10">
        <f t="shared" si="2"/>
        <v>450</v>
      </c>
      <c r="G7" s="5">
        <v>20550</v>
      </c>
      <c r="H7" s="6" t="s">
        <v>109</v>
      </c>
      <c r="I7" s="8">
        <v>200</v>
      </c>
      <c r="J7" s="9">
        <v>20</v>
      </c>
      <c r="K7" s="10">
        <v>392</v>
      </c>
      <c r="M7" s="5">
        <v>40004</v>
      </c>
      <c r="N7" s="6" t="s">
        <v>15</v>
      </c>
      <c r="O7" s="8">
        <v>300</v>
      </c>
      <c r="P7" s="9">
        <v>30</v>
      </c>
      <c r="Q7" s="10">
        <v>460</v>
      </c>
      <c r="S7" s="5">
        <v>40004</v>
      </c>
      <c r="T7" s="6" t="s">
        <v>15</v>
      </c>
      <c r="U7" s="8">
        <v>300</v>
      </c>
      <c r="V7" s="9">
        <v>30</v>
      </c>
      <c r="W7" s="10">
        <v>366.17</v>
      </c>
    </row>
    <row r="8" spans="1:23" x14ac:dyDescent="0.25">
      <c r="A8">
        <v>40060</v>
      </c>
      <c r="B8" s="6" t="s">
        <v>112</v>
      </c>
      <c r="C8" s="8">
        <f t="shared" si="0"/>
        <v>159</v>
      </c>
      <c r="D8" s="9">
        <f t="shared" si="1"/>
        <v>15.9</v>
      </c>
      <c r="E8" s="10">
        <f t="shared" si="2"/>
        <v>457</v>
      </c>
      <c r="G8" s="5">
        <v>42120</v>
      </c>
      <c r="H8" s="6" t="s">
        <v>272</v>
      </c>
      <c r="I8" s="8">
        <v>147</v>
      </c>
      <c r="J8" s="9">
        <v>14.7</v>
      </c>
      <c r="K8" s="10">
        <v>555</v>
      </c>
      <c r="M8" s="5">
        <v>20550</v>
      </c>
      <c r="N8" s="6" t="s">
        <v>109</v>
      </c>
      <c r="O8" s="8">
        <v>200</v>
      </c>
      <c r="P8" s="9">
        <v>20</v>
      </c>
      <c r="Q8" s="10">
        <v>390</v>
      </c>
      <c r="S8" s="5">
        <v>22964</v>
      </c>
      <c r="T8" s="6" t="s">
        <v>270</v>
      </c>
      <c r="U8" s="8">
        <v>77</v>
      </c>
      <c r="V8" s="9">
        <v>7.7</v>
      </c>
      <c r="W8" s="10">
        <v>285</v>
      </c>
    </row>
    <row r="9" spans="1:23" x14ac:dyDescent="0.25">
      <c r="A9" s="5">
        <v>42120</v>
      </c>
      <c r="B9" s="6" t="s">
        <v>272</v>
      </c>
      <c r="C9" s="8">
        <f t="shared" si="0"/>
        <v>116</v>
      </c>
      <c r="D9" s="9">
        <f t="shared" si="1"/>
        <v>11.6</v>
      </c>
      <c r="E9" s="10">
        <f t="shared" si="2"/>
        <v>618</v>
      </c>
      <c r="G9" s="5">
        <v>40060</v>
      </c>
      <c r="H9" s="6" t="s">
        <v>112</v>
      </c>
      <c r="I9" s="8">
        <v>49</v>
      </c>
      <c r="J9" s="9">
        <v>4.9000000000000004</v>
      </c>
      <c r="K9" s="10">
        <v>390</v>
      </c>
      <c r="M9" s="5">
        <v>22964</v>
      </c>
      <c r="N9" s="6" t="s">
        <v>270</v>
      </c>
      <c r="O9" s="8">
        <v>31</v>
      </c>
      <c r="P9" s="9">
        <v>3.1</v>
      </c>
      <c r="Q9" s="10">
        <v>350</v>
      </c>
      <c r="S9" s="5">
        <v>42120</v>
      </c>
      <c r="T9" s="6" t="s">
        <v>272</v>
      </c>
      <c r="U9" s="8">
        <v>49</v>
      </c>
      <c r="V9" s="9">
        <v>4.9000000000000004</v>
      </c>
      <c r="W9" s="10">
        <v>568</v>
      </c>
    </row>
    <row r="10" spans="1:23" x14ac:dyDescent="0.25">
      <c r="A10" s="5">
        <v>60080</v>
      </c>
      <c r="B10" s="6" t="s">
        <v>273</v>
      </c>
      <c r="C10" s="8">
        <f t="shared" si="0"/>
        <v>10</v>
      </c>
      <c r="D10" s="9">
        <f t="shared" si="1"/>
        <v>1</v>
      </c>
      <c r="E10" s="10">
        <f t="shared" si="2"/>
        <v>132</v>
      </c>
      <c r="G10" s="5">
        <v>60080</v>
      </c>
      <c r="H10" s="6" t="s">
        <v>273</v>
      </c>
      <c r="I10" s="8">
        <v>11.5</v>
      </c>
      <c r="J10" s="9">
        <v>1.1499999999999999</v>
      </c>
      <c r="K10" s="10">
        <v>132</v>
      </c>
      <c r="M10" s="5">
        <v>42120</v>
      </c>
      <c r="N10" s="6" t="s">
        <v>272</v>
      </c>
      <c r="O10" s="8">
        <v>31</v>
      </c>
      <c r="P10" s="9">
        <v>3.1</v>
      </c>
      <c r="Q10" s="10">
        <v>580</v>
      </c>
      <c r="S10" s="5">
        <v>60080</v>
      </c>
      <c r="T10" s="6" t="s">
        <v>273</v>
      </c>
      <c r="U10" s="8">
        <v>11</v>
      </c>
      <c r="V10" s="9">
        <v>1.1000000000000001</v>
      </c>
      <c r="W10" s="10">
        <v>132</v>
      </c>
    </row>
    <row r="11" spans="1:23" x14ac:dyDescent="0.25">
      <c r="A11" s="5">
        <v>66069</v>
      </c>
      <c r="B11" s="6" t="s">
        <v>277</v>
      </c>
      <c r="C11" s="8">
        <f t="shared" si="0"/>
        <v>5</v>
      </c>
      <c r="D11" s="9">
        <f t="shared" si="1"/>
        <v>0.5</v>
      </c>
      <c r="E11" s="10">
        <f t="shared" si="2"/>
        <v>2610</v>
      </c>
      <c r="G11" s="5">
        <v>66069</v>
      </c>
      <c r="H11" s="6" t="s">
        <v>277</v>
      </c>
      <c r="I11" s="8">
        <v>5</v>
      </c>
      <c r="J11" s="9">
        <v>0.5</v>
      </c>
      <c r="K11" s="10">
        <v>2195</v>
      </c>
      <c r="M11" s="5">
        <v>60080</v>
      </c>
      <c r="N11" s="6" t="s">
        <v>273</v>
      </c>
      <c r="O11" s="8">
        <v>12.5</v>
      </c>
      <c r="P11" s="9">
        <v>1.25</v>
      </c>
      <c r="Q11" s="10">
        <v>132</v>
      </c>
      <c r="S11" s="5">
        <v>60700</v>
      </c>
      <c r="T11" s="6" t="s">
        <v>275</v>
      </c>
      <c r="U11" s="8">
        <v>5</v>
      </c>
      <c r="V11" s="9">
        <v>0.5</v>
      </c>
      <c r="W11" s="10">
        <v>115</v>
      </c>
    </row>
    <row r="12" spans="1:23" x14ac:dyDescent="0.25">
      <c r="A12" s="5">
        <v>60700</v>
      </c>
      <c r="B12" s="6" t="s">
        <v>275</v>
      </c>
      <c r="C12" s="8">
        <f t="shared" si="0"/>
        <v>4</v>
      </c>
      <c r="D12" s="9">
        <f t="shared" si="1"/>
        <v>0.4</v>
      </c>
      <c r="E12" s="10">
        <f t="shared" si="2"/>
        <v>115</v>
      </c>
      <c r="G12" s="5">
        <v>60700</v>
      </c>
      <c r="H12" s="6" t="s">
        <v>275</v>
      </c>
      <c r="I12" s="8">
        <v>4.5</v>
      </c>
      <c r="J12" s="9">
        <v>0.45</v>
      </c>
      <c r="K12" s="10">
        <v>115</v>
      </c>
      <c r="M12" s="5">
        <v>60700</v>
      </c>
      <c r="N12" s="6" t="s">
        <v>275</v>
      </c>
      <c r="O12" s="8">
        <v>4.5</v>
      </c>
      <c r="P12" s="9">
        <v>0.45</v>
      </c>
      <c r="Q12" s="10">
        <v>115</v>
      </c>
      <c r="S12" s="5">
        <v>66069</v>
      </c>
      <c r="T12" s="6" t="s">
        <v>277</v>
      </c>
      <c r="U12" s="8">
        <v>4.9973400000000003</v>
      </c>
      <c r="V12" s="9">
        <v>0.49973400000000001</v>
      </c>
      <c r="W12" s="10">
        <v>2050</v>
      </c>
    </row>
    <row r="13" spans="1:23" x14ac:dyDescent="0.25">
      <c r="A13" s="5">
        <v>91000</v>
      </c>
      <c r="B13" s="6" t="s">
        <v>306</v>
      </c>
      <c r="C13" s="8">
        <f t="shared" si="0"/>
        <v>3</v>
      </c>
      <c r="D13" s="9">
        <f t="shared" si="1"/>
        <v>0.3</v>
      </c>
      <c r="E13" s="10">
        <f t="shared" si="2"/>
        <v>2650</v>
      </c>
      <c r="G13" s="5">
        <v>91000</v>
      </c>
      <c r="H13" s="6" t="s">
        <v>306</v>
      </c>
      <c r="I13" s="8">
        <v>3</v>
      </c>
      <c r="J13" s="9">
        <v>0.3</v>
      </c>
      <c r="K13" s="10">
        <v>2200</v>
      </c>
      <c r="M13" s="5">
        <v>66069</v>
      </c>
      <c r="N13" s="6" t="s">
        <v>277</v>
      </c>
      <c r="O13" s="8">
        <v>5</v>
      </c>
      <c r="P13" s="9">
        <v>0.5</v>
      </c>
      <c r="Q13" s="10">
        <v>2100</v>
      </c>
      <c r="S13" s="5">
        <v>60220</v>
      </c>
      <c r="T13" s="6" t="s">
        <v>274</v>
      </c>
      <c r="U13" s="8">
        <v>3</v>
      </c>
      <c r="V13" s="9">
        <v>0.3</v>
      </c>
      <c r="W13" s="10">
        <v>970</v>
      </c>
    </row>
    <row r="14" spans="1:23" x14ac:dyDescent="0.25">
      <c r="A14" s="5">
        <v>922556</v>
      </c>
      <c r="B14" s="6" t="s">
        <v>281</v>
      </c>
      <c r="C14" s="8">
        <f t="shared" si="0"/>
        <v>1</v>
      </c>
      <c r="D14" s="9">
        <f t="shared" si="1"/>
        <v>0.1</v>
      </c>
      <c r="E14" s="10">
        <f t="shared" si="2"/>
        <v>8400</v>
      </c>
      <c r="G14" s="5">
        <v>922556</v>
      </c>
      <c r="H14" s="6" t="s">
        <v>281</v>
      </c>
      <c r="I14" s="8">
        <v>1</v>
      </c>
      <c r="J14" s="9">
        <v>0.1</v>
      </c>
      <c r="K14" s="10">
        <v>8400</v>
      </c>
      <c r="M14" s="5">
        <v>60220</v>
      </c>
      <c r="N14" s="6" t="s">
        <v>274</v>
      </c>
      <c r="O14" s="8">
        <v>1</v>
      </c>
      <c r="P14" s="9">
        <v>0.1</v>
      </c>
      <c r="Q14" s="10">
        <v>970</v>
      </c>
      <c r="S14" s="5">
        <v>91000</v>
      </c>
      <c r="T14" s="6" t="s">
        <v>278</v>
      </c>
      <c r="U14" s="8">
        <v>3</v>
      </c>
      <c r="V14" s="9">
        <v>0.3</v>
      </c>
      <c r="W14" s="10">
        <v>2650</v>
      </c>
    </row>
    <row r="15" spans="1:23" x14ac:dyDescent="0.25">
      <c r="A15" s="5">
        <v>60220</v>
      </c>
      <c r="B15" s="6" t="s">
        <v>274</v>
      </c>
      <c r="C15" s="8">
        <f t="shared" si="0"/>
        <v>1</v>
      </c>
      <c r="D15" s="9">
        <f t="shared" si="1"/>
        <v>0.1</v>
      </c>
      <c r="E15" s="10">
        <f t="shared" si="2"/>
        <v>970</v>
      </c>
      <c r="G15" s="5">
        <v>66300</v>
      </c>
      <c r="H15" s="6" t="s">
        <v>11</v>
      </c>
      <c r="I15" s="8">
        <v>0.44999999999999996</v>
      </c>
      <c r="J15" s="9">
        <v>4.4999999999999998E-2</v>
      </c>
      <c r="K15" s="10">
        <v>13750</v>
      </c>
      <c r="M15" s="5">
        <v>91000</v>
      </c>
      <c r="N15" s="6" t="s">
        <v>306</v>
      </c>
      <c r="O15" s="8">
        <v>3</v>
      </c>
      <c r="P15" s="9">
        <v>0.3</v>
      </c>
      <c r="Q15" s="10">
        <v>2650</v>
      </c>
      <c r="S15" s="5">
        <v>66300</v>
      </c>
      <c r="T15" s="6" t="s">
        <v>11</v>
      </c>
      <c r="U15" s="8">
        <v>1.75</v>
      </c>
      <c r="V15" s="9">
        <v>0.17499999999999999</v>
      </c>
      <c r="W15" s="10">
        <v>3200</v>
      </c>
    </row>
    <row r="16" spans="1:23" x14ac:dyDescent="0.25">
      <c r="A16" s="5">
        <v>66300</v>
      </c>
      <c r="B16" s="6" t="s">
        <v>11</v>
      </c>
      <c r="C16" s="8">
        <f t="shared" si="0"/>
        <v>0.4</v>
      </c>
      <c r="D16" s="9">
        <f t="shared" si="1"/>
        <v>0.04</v>
      </c>
      <c r="E16" s="10">
        <f t="shared" si="2"/>
        <v>4000</v>
      </c>
      <c r="G16" s="5">
        <v>61800</v>
      </c>
      <c r="H16" s="6" t="s">
        <v>116</v>
      </c>
      <c r="I16" s="8">
        <v>0.4</v>
      </c>
      <c r="J16" s="9">
        <v>0.04</v>
      </c>
      <c r="K16" s="10">
        <v>4225</v>
      </c>
      <c r="M16" s="5">
        <v>66300</v>
      </c>
      <c r="N16" s="6" t="s">
        <v>11</v>
      </c>
      <c r="O16" s="8">
        <v>1.1500000000000001</v>
      </c>
      <c r="P16" s="9">
        <v>0.115</v>
      </c>
      <c r="Q16" s="10">
        <v>3200</v>
      </c>
      <c r="S16" s="5">
        <v>66100</v>
      </c>
      <c r="T16" s="6" t="s">
        <v>13</v>
      </c>
      <c r="U16" s="8">
        <v>1.55</v>
      </c>
      <c r="V16" s="9">
        <v>0.155</v>
      </c>
      <c r="W16" s="10">
        <v>4525</v>
      </c>
    </row>
    <row r="17" spans="1:23" x14ac:dyDescent="0.25">
      <c r="A17" s="5">
        <v>61800</v>
      </c>
      <c r="B17" s="6" t="s">
        <v>116</v>
      </c>
      <c r="C17" s="8">
        <f t="shared" si="0"/>
        <v>0.4</v>
      </c>
      <c r="D17" s="9">
        <f t="shared" si="1"/>
        <v>0.04</v>
      </c>
      <c r="E17" s="10">
        <f t="shared" si="2"/>
        <v>4225</v>
      </c>
      <c r="G17" s="5">
        <v>40004</v>
      </c>
      <c r="H17" s="6" t="s">
        <v>15</v>
      </c>
      <c r="I17" s="8">
        <v>0</v>
      </c>
      <c r="J17" s="9">
        <v>0</v>
      </c>
      <c r="K17" s="10">
        <v>470</v>
      </c>
      <c r="M17" s="5">
        <v>66100</v>
      </c>
      <c r="N17" s="6" t="s">
        <v>13</v>
      </c>
      <c r="O17" s="8">
        <v>0.89999999999999991</v>
      </c>
      <c r="P17" s="9">
        <v>0.09</v>
      </c>
      <c r="Q17" s="10">
        <v>4525</v>
      </c>
      <c r="S17" s="5">
        <v>922556</v>
      </c>
      <c r="T17" s="6" t="s">
        <v>281</v>
      </c>
      <c r="U17" s="8">
        <v>1</v>
      </c>
      <c r="V17" s="9">
        <v>0.1</v>
      </c>
      <c r="W17" s="10">
        <v>8500</v>
      </c>
    </row>
    <row r="18" spans="1:23" x14ac:dyDescent="0.25">
      <c r="A18" s="5">
        <v>66200</v>
      </c>
      <c r="B18" s="6" t="s">
        <v>14</v>
      </c>
      <c r="C18" s="8">
        <f t="shared" si="0"/>
        <v>0.15</v>
      </c>
      <c r="D18" s="9">
        <f t="shared" si="1"/>
        <v>1.4999999999999999E-2</v>
      </c>
      <c r="E18" s="10">
        <f t="shared" si="2"/>
        <v>13250</v>
      </c>
      <c r="G18" s="5">
        <v>66100</v>
      </c>
      <c r="H18" s="6" t="s">
        <v>13</v>
      </c>
      <c r="I18" s="8">
        <v>0</v>
      </c>
      <c r="J18" s="9">
        <v>0</v>
      </c>
      <c r="K18" s="10">
        <v>4200</v>
      </c>
      <c r="M18" s="5">
        <v>922556</v>
      </c>
      <c r="N18" s="6" t="s">
        <v>281</v>
      </c>
      <c r="O18" s="8">
        <v>1</v>
      </c>
      <c r="P18" s="9">
        <v>0.1</v>
      </c>
      <c r="Q18" s="10">
        <v>8400</v>
      </c>
      <c r="S18" s="5">
        <v>61800</v>
      </c>
      <c r="T18" s="6" t="s">
        <v>116</v>
      </c>
      <c r="U18" s="8">
        <v>0.4</v>
      </c>
      <c r="V18" s="9">
        <v>0.04</v>
      </c>
      <c r="W18" s="10">
        <v>4120</v>
      </c>
    </row>
    <row r="19" spans="1:23" x14ac:dyDescent="0.25">
      <c r="A19" s="5">
        <v>14320</v>
      </c>
      <c r="B19" s="6" t="s">
        <v>269</v>
      </c>
      <c r="C19" s="8">
        <f t="shared" si="0"/>
        <v>0</v>
      </c>
      <c r="D19" s="9">
        <f t="shared" si="1"/>
        <v>0</v>
      </c>
      <c r="E19" s="10">
        <f t="shared" si="2"/>
        <v>468</v>
      </c>
      <c r="G19" s="5">
        <v>60220</v>
      </c>
      <c r="H19" s="6" t="s">
        <v>274</v>
      </c>
      <c r="I19" s="8">
        <v>0</v>
      </c>
      <c r="J19" s="9">
        <v>0</v>
      </c>
      <c r="K19" s="10">
        <v>970</v>
      </c>
      <c r="M19" s="5">
        <v>61800</v>
      </c>
      <c r="N19" s="6" t="s">
        <v>116</v>
      </c>
      <c r="O19" s="8">
        <v>0.4</v>
      </c>
      <c r="P19" s="9">
        <v>0.04</v>
      </c>
      <c r="Q19" s="10">
        <v>4180</v>
      </c>
      <c r="S19" s="5">
        <v>66200</v>
      </c>
      <c r="T19" s="6" t="s">
        <v>14</v>
      </c>
      <c r="U19" s="8">
        <v>0.35000000000000003</v>
      </c>
      <c r="V19" s="9">
        <v>3.5000000000000003E-2</v>
      </c>
      <c r="W19" s="10">
        <v>12750</v>
      </c>
    </row>
    <row r="20" spans="1:23" x14ac:dyDescent="0.25">
      <c r="A20" s="5">
        <v>22964</v>
      </c>
      <c r="B20" s="6" t="s">
        <v>270</v>
      </c>
      <c r="C20" s="8">
        <f t="shared" si="0"/>
        <v>0</v>
      </c>
      <c r="D20" s="9">
        <f t="shared" si="1"/>
        <v>0</v>
      </c>
      <c r="E20" s="10">
        <f t="shared" si="2"/>
        <v>422</v>
      </c>
      <c r="G20" s="5">
        <v>66200</v>
      </c>
      <c r="H20" s="6" t="s">
        <v>14</v>
      </c>
      <c r="I20" s="8">
        <v>0</v>
      </c>
      <c r="J20" s="9">
        <v>0</v>
      </c>
      <c r="K20" s="10">
        <v>3600</v>
      </c>
      <c r="M20" s="5">
        <v>66200</v>
      </c>
      <c r="N20" s="6" t="s">
        <v>14</v>
      </c>
      <c r="O20" s="8">
        <v>0.4</v>
      </c>
      <c r="P20" s="9">
        <v>0.04</v>
      </c>
      <c r="Q20" s="10">
        <v>12750</v>
      </c>
      <c r="U20" s="8"/>
      <c r="V20" s="9"/>
      <c r="W20" s="10"/>
    </row>
    <row r="21" spans="1:23" x14ac:dyDescent="0.25">
      <c r="A21" s="5">
        <v>40004</v>
      </c>
      <c r="B21" s="6" t="s">
        <v>15</v>
      </c>
      <c r="C21" s="8">
        <f t="shared" si="0"/>
        <v>0</v>
      </c>
      <c r="D21" s="9">
        <f t="shared" si="1"/>
        <v>0</v>
      </c>
      <c r="E21" s="10">
        <f t="shared" si="2"/>
        <v>556</v>
      </c>
      <c r="I21" s="8"/>
      <c r="J21" s="9"/>
      <c r="K21" s="10"/>
      <c r="O21" s="8"/>
      <c r="P21" s="9"/>
      <c r="Q21" s="10"/>
      <c r="U21" s="8"/>
      <c r="V21" s="9"/>
      <c r="W21" s="10"/>
    </row>
    <row r="22" spans="1:23" x14ac:dyDescent="0.25">
      <c r="C22" s="8"/>
      <c r="D22" s="9"/>
      <c r="E22" s="10"/>
      <c r="I22" s="8"/>
      <c r="J22" s="9"/>
      <c r="K22" s="10"/>
      <c r="O22" s="8"/>
      <c r="P22" s="9"/>
      <c r="Q22" s="10"/>
      <c r="U22" s="8"/>
      <c r="V22" s="9"/>
      <c r="W22" s="10"/>
    </row>
    <row r="23" spans="1:23" ht="16.5" thickBot="1" x14ac:dyDescent="0.3">
      <c r="B23" s="11" t="s">
        <v>6</v>
      </c>
      <c r="C23" s="12">
        <f>SUM(C6:C22)</f>
        <v>999.99999999999989</v>
      </c>
      <c r="D23" s="13">
        <f>SUM(D6:D22)</f>
        <v>100</v>
      </c>
      <c r="E23" s="37" cm="1">
        <f t="array" ref="E23">SUMPRODUCT(C6:C22,E6:E22/1000)</f>
        <v>473.79870000000005</v>
      </c>
      <c r="H23" s="11" t="s">
        <v>6</v>
      </c>
      <c r="I23" s="12">
        <v>1000</v>
      </c>
      <c r="J23" s="13">
        <v>100.00000000000001</v>
      </c>
      <c r="K23" s="37">
        <v>456.6497</v>
      </c>
      <c r="N23" s="11" t="s">
        <v>6</v>
      </c>
      <c r="O23" s="12">
        <v>999.99999999999989</v>
      </c>
      <c r="P23" s="13">
        <v>99.999999999999986</v>
      </c>
      <c r="Q23" s="37">
        <v>462.80575000000005</v>
      </c>
      <c r="T23" s="11" t="s">
        <v>6</v>
      </c>
      <c r="U23" s="12">
        <v>999.99999999999989</v>
      </c>
      <c r="V23" s="13">
        <v>100</v>
      </c>
      <c r="W23" s="37">
        <v>396.33963866760001</v>
      </c>
    </row>
    <row r="24" spans="1:23" x14ac:dyDescent="0.25">
      <c r="C24"/>
      <c r="D24" s="196"/>
      <c r="E24" s="201">
        <f>E23-K23</f>
        <v>17.149000000000058</v>
      </c>
      <c r="I24"/>
      <c r="J24" s="196"/>
      <c r="K24" s="201">
        <v>-6.1560500000000502</v>
      </c>
      <c r="O24"/>
      <c r="P24" s="196"/>
      <c r="Q24" s="201">
        <v>66.466111332400033</v>
      </c>
      <c r="U24"/>
      <c r="V24" s="196"/>
      <c r="W24" s="201"/>
    </row>
    <row r="25" spans="1:23" ht="16.5" thickBot="1" x14ac:dyDescent="0.3">
      <c r="C25"/>
      <c r="D25"/>
      <c r="E25" s="187"/>
      <c r="I25"/>
      <c r="J25"/>
      <c r="K25" s="187"/>
      <c r="O25"/>
      <c r="P25"/>
      <c r="Q25" s="187"/>
      <c r="U25"/>
      <c r="V25"/>
      <c r="W25" s="187"/>
    </row>
    <row r="26" spans="1:23" x14ac:dyDescent="0.25">
      <c r="B26" s="14" t="s">
        <v>7</v>
      </c>
      <c r="C26" s="14" t="s">
        <v>8</v>
      </c>
      <c r="D26" s="14" t="s">
        <v>9</v>
      </c>
      <c r="E26"/>
      <c r="H26" s="14" t="s">
        <v>7</v>
      </c>
      <c r="I26" s="14" t="s">
        <v>8</v>
      </c>
      <c r="J26" s="14" t="s">
        <v>9</v>
      </c>
      <c r="K26"/>
      <c r="N26" s="14" t="s">
        <v>7</v>
      </c>
      <c r="O26" s="14" t="s">
        <v>8</v>
      </c>
      <c r="P26" s="14" t="s">
        <v>9</v>
      </c>
      <c r="Q26"/>
      <c r="T26" s="14" t="s">
        <v>7</v>
      </c>
      <c r="U26" s="14" t="s">
        <v>8</v>
      </c>
      <c r="V26" s="14" t="s">
        <v>9</v>
      </c>
      <c r="W26"/>
    </row>
    <row r="27" spans="1:23" x14ac:dyDescent="0.25">
      <c r="B27" s="6" t="s">
        <v>18</v>
      </c>
      <c r="C27" s="6" t="s">
        <v>19</v>
      </c>
      <c r="D27" s="178">
        <f t="shared" ref="D27:D58" si="3">IFERROR(VLOOKUP(B27,raw_2,7,FALSE),0)</f>
        <v>100</v>
      </c>
      <c r="H27" s="6" t="s">
        <v>18</v>
      </c>
      <c r="I27" s="6" t="s">
        <v>19</v>
      </c>
      <c r="J27" s="178">
        <v>100</v>
      </c>
      <c r="N27" s="6" t="s">
        <v>18</v>
      </c>
      <c r="O27" s="6" t="s">
        <v>19</v>
      </c>
      <c r="P27" s="178">
        <v>100</v>
      </c>
      <c r="T27" s="6" t="s">
        <v>18</v>
      </c>
      <c r="U27" s="6" t="s">
        <v>19</v>
      </c>
      <c r="V27" s="178">
        <v>100</v>
      </c>
    </row>
    <row r="28" spans="1:23" x14ac:dyDescent="0.25">
      <c r="B28" s="6" t="s">
        <v>20</v>
      </c>
      <c r="C28" s="6" t="s">
        <v>19</v>
      </c>
      <c r="D28" s="178">
        <f t="shared" si="3"/>
        <v>88.131050000000002</v>
      </c>
      <c r="H28" s="6" t="s">
        <v>20</v>
      </c>
      <c r="I28" s="6" t="s">
        <v>19</v>
      </c>
      <c r="J28" s="178">
        <v>88.584199999999996</v>
      </c>
      <c r="N28" s="6" t="s">
        <v>20</v>
      </c>
      <c r="O28" s="6" t="s">
        <v>19</v>
      </c>
      <c r="P28" s="178">
        <v>88.079750000000004</v>
      </c>
      <c r="T28" s="6" t="s">
        <v>20</v>
      </c>
      <c r="U28" s="6" t="s">
        <v>19</v>
      </c>
      <c r="V28" s="178">
        <v>87.959772999999998</v>
      </c>
    </row>
    <row r="29" spans="1:23" x14ac:dyDescent="0.25">
      <c r="B29" s="6" t="s">
        <v>21</v>
      </c>
      <c r="C29" s="6" t="s">
        <v>19</v>
      </c>
      <c r="D29" s="178">
        <f t="shared" si="3"/>
        <v>21.321960000000001</v>
      </c>
      <c r="H29" s="6" t="s">
        <v>21</v>
      </c>
      <c r="I29" s="6" t="s">
        <v>19</v>
      </c>
      <c r="J29" s="178">
        <v>21.999205</v>
      </c>
      <c r="N29" s="6" t="s">
        <v>21</v>
      </c>
      <c r="O29" s="6" t="s">
        <v>19</v>
      </c>
      <c r="P29" s="178">
        <v>20.883025</v>
      </c>
      <c r="T29" s="6" t="s">
        <v>21</v>
      </c>
      <c r="U29" s="6" t="s">
        <v>19</v>
      </c>
      <c r="V29" s="178">
        <v>18.396339999999999</v>
      </c>
    </row>
    <row r="30" spans="1:23" x14ac:dyDescent="0.25">
      <c r="B30" s="6" t="s">
        <v>22</v>
      </c>
      <c r="C30" s="6" t="s">
        <v>19</v>
      </c>
      <c r="D30" s="178">
        <f t="shared" si="3"/>
        <v>4.34171</v>
      </c>
      <c r="H30" s="6" t="s">
        <v>22</v>
      </c>
      <c r="I30" s="6" t="s">
        <v>19</v>
      </c>
      <c r="J30" s="178">
        <v>3.1689050000000001</v>
      </c>
      <c r="N30" s="6" t="s">
        <v>22</v>
      </c>
      <c r="O30" s="6" t="s">
        <v>19</v>
      </c>
      <c r="P30" s="178">
        <v>2.9888349999999999</v>
      </c>
      <c r="T30" s="6" t="s">
        <v>22</v>
      </c>
      <c r="U30" s="6" t="s">
        <v>19</v>
      </c>
      <c r="V30" s="178">
        <v>1.8903399999999999</v>
      </c>
    </row>
    <row r="31" spans="1:23" x14ac:dyDescent="0.25">
      <c r="B31" s="15" t="s">
        <v>23</v>
      </c>
      <c r="C31" s="15" t="s">
        <v>19</v>
      </c>
      <c r="D31" s="179">
        <f t="shared" si="3"/>
        <v>5.36252</v>
      </c>
      <c r="H31" s="15" t="s">
        <v>23</v>
      </c>
      <c r="I31" s="15" t="s">
        <v>19</v>
      </c>
      <c r="J31" s="179">
        <v>4.4909999999999997</v>
      </c>
      <c r="N31" s="15" t="s">
        <v>23</v>
      </c>
      <c r="O31" s="15" t="s">
        <v>19</v>
      </c>
      <c r="P31" s="179">
        <v>5.3360000000000003</v>
      </c>
      <c r="T31" s="15" t="s">
        <v>23</v>
      </c>
      <c r="U31" s="15" t="s">
        <v>19</v>
      </c>
      <c r="V31" s="179">
        <v>4.6830670000000003</v>
      </c>
    </row>
    <row r="32" spans="1:23" x14ac:dyDescent="0.25">
      <c r="B32" s="6" t="s">
        <v>24</v>
      </c>
      <c r="C32" s="6" t="s">
        <v>19</v>
      </c>
      <c r="D32" s="178">
        <f t="shared" si="3"/>
        <v>5.040762</v>
      </c>
      <c r="H32" s="6" t="s">
        <v>24</v>
      </c>
      <c r="I32" s="6" t="s">
        <v>19</v>
      </c>
      <c r="J32" s="178">
        <v>5.0941700000000001</v>
      </c>
      <c r="N32" s="6" t="s">
        <v>24</v>
      </c>
      <c r="O32" s="6" t="s">
        <v>19</v>
      </c>
      <c r="P32" s="178">
        <v>4.9266699999999997</v>
      </c>
      <c r="T32" s="6" t="s">
        <v>24</v>
      </c>
      <c r="U32" s="6" t="s">
        <v>19</v>
      </c>
      <c r="V32" s="178">
        <v>4.5510390000000003</v>
      </c>
    </row>
    <row r="33" spans="1:23" x14ac:dyDescent="0.25">
      <c r="B33" s="6" t="s">
        <v>25</v>
      </c>
      <c r="C33" s="6" t="s">
        <v>19</v>
      </c>
      <c r="D33" s="178">
        <f t="shared" si="3"/>
        <v>11.86895</v>
      </c>
      <c r="H33" s="6" t="s">
        <v>25</v>
      </c>
      <c r="I33" s="6" t="s">
        <v>19</v>
      </c>
      <c r="J33" s="178">
        <v>11.415800000000001</v>
      </c>
      <c r="N33" s="6" t="s">
        <v>25</v>
      </c>
      <c r="O33" s="6" t="s">
        <v>19</v>
      </c>
      <c r="P33" s="178">
        <v>11.920249999999999</v>
      </c>
      <c r="T33" s="6" t="s">
        <v>25</v>
      </c>
      <c r="U33" s="6" t="s">
        <v>19</v>
      </c>
      <c r="V33" s="178">
        <v>12.040227</v>
      </c>
    </row>
    <row r="34" spans="1:23" x14ac:dyDescent="0.25">
      <c r="B34" s="6" t="s">
        <v>178</v>
      </c>
      <c r="C34" s="6" t="s">
        <v>19</v>
      </c>
      <c r="D34" s="178">
        <f t="shared" si="3"/>
        <v>52.068097999999999</v>
      </c>
      <c r="H34" s="6" t="s">
        <v>178</v>
      </c>
      <c r="I34" s="6" t="s">
        <v>19</v>
      </c>
      <c r="J34" s="178">
        <v>53.834919999999997</v>
      </c>
      <c r="N34" s="6" t="s">
        <v>178</v>
      </c>
      <c r="O34" s="6" t="s">
        <v>19</v>
      </c>
      <c r="P34" s="178">
        <v>53.949219999999997</v>
      </c>
      <c r="T34" s="6" t="s">
        <v>178</v>
      </c>
      <c r="U34" s="6" t="s">
        <v>19</v>
      </c>
      <c r="V34" s="178">
        <v>58.442985</v>
      </c>
    </row>
    <row r="35" spans="1:23" x14ac:dyDescent="0.25">
      <c r="B35" s="6" t="s">
        <v>26</v>
      </c>
      <c r="C35" s="6" t="s">
        <v>19</v>
      </c>
      <c r="D35" s="178">
        <f t="shared" si="3"/>
        <v>16.58053</v>
      </c>
      <c r="H35" s="6" t="s">
        <v>26</v>
      </c>
      <c r="I35" s="6" t="s">
        <v>19</v>
      </c>
      <c r="J35" s="178">
        <v>16.489194999999999</v>
      </c>
      <c r="N35" s="6" t="s">
        <v>26</v>
      </c>
      <c r="O35" s="6" t="s">
        <v>19</v>
      </c>
      <c r="P35" s="178">
        <v>16.420535000000001</v>
      </c>
      <c r="T35" s="6" t="s">
        <v>26</v>
      </c>
      <c r="U35" s="6" t="s">
        <v>19</v>
      </c>
      <c r="V35" s="178">
        <v>13.795788999999999</v>
      </c>
    </row>
    <row r="36" spans="1:23" x14ac:dyDescent="0.25">
      <c r="B36" s="6" t="s">
        <v>27</v>
      </c>
      <c r="C36" s="6" t="s">
        <v>19</v>
      </c>
      <c r="D36" s="178">
        <f t="shared" si="3"/>
        <v>7.5768050000000002</v>
      </c>
      <c r="H36" s="6" t="s">
        <v>27</v>
      </c>
      <c r="I36" s="6" t="s">
        <v>19</v>
      </c>
      <c r="J36" s="178">
        <v>6.3162399999999996</v>
      </c>
      <c r="N36" s="6" t="s">
        <v>27</v>
      </c>
      <c r="O36" s="6" t="s">
        <v>19</v>
      </c>
      <c r="P36" s="178">
        <v>7.4193899999999999</v>
      </c>
      <c r="T36" s="6" t="s">
        <v>27</v>
      </c>
      <c r="U36" s="6" t="s">
        <v>19</v>
      </c>
      <c r="V36" s="178">
        <v>5.625318</v>
      </c>
    </row>
    <row r="37" spans="1:23" x14ac:dyDescent="0.25">
      <c r="B37" s="6" t="s">
        <v>179</v>
      </c>
      <c r="C37" s="6" t="s">
        <v>19</v>
      </c>
      <c r="D37" s="178">
        <f t="shared" si="3"/>
        <v>21.622952000000002</v>
      </c>
      <c r="H37" s="6" t="s">
        <v>179</v>
      </c>
      <c r="I37" s="6" t="s">
        <v>19</v>
      </c>
      <c r="J37" s="178">
        <v>17.443297000000001</v>
      </c>
      <c r="N37" s="6" t="s">
        <v>179</v>
      </c>
      <c r="O37" s="6" t="s">
        <v>19</v>
      </c>
      <c r="P37" s="178">
        <v>16.426767000000002</v>
      </c>
      <c r="T37" s="6" t="s">
        <v>179</v>
      </c>
      <c r="U37" s="6" t="s">
        <v>19</v>
      </c>
      <c r="V37" s="178">
        <v>12.965001000000001</v>
      </c>
    </row>
    <row r="38" spans="1:23" x14ac:dyDescent="0.25">
      <c r="B38" s="6" t="s">
        <v>28</v>
      </c>
      <c r="C38" s="6" t="s">
        <v>19</v>
      </c>
      <c r="D38" s="178">
        <f t="shared" si="3"/>
        <v>32.534999999999997</v>
      </c>
      <c r="H38" s="6" t="s">
        <v>28</v>
      </c>
      <c r="I38" s="6" t="s">
        <v>19</v>
      </c>
      <c r="J38" s="178">
        <v>32.739455</v>
      </c>
      <c r="N38" s="6" t="s">
        <v>28</v>
      </c>
      <c r="O38" s="6" t="s">
        <v>19</v>
      </c>
      <c r="P38" s="178">
        <v>35.558504999999997</v>
      </c>
      <c r="T38" s="6" t="s">
        <v>28</v>
      </c>
      <c r="U38" s="6" t="s">
        <v>19</v>
      </c>
      <c r="V38" s="178">
        <v>43.632213</v>
      </c>
    </row>
    <row r="39" spans="1:23" x14ac:dyDescent="0.25">
      <c r="B39" s="6" t="s">
        <v>180</v>
      </c>
      <c r="C39" s="6" t="s">
        <v>19</v>
      </c>
      <c r="D39" s="178">
        <f t="shared" si="3"/>
        <v>3.0176829999999999</v>
      </c>
      <c r="H39" s="6" t="s">
        <v>180</v>
      </c>
      <c r="I39" s="6" t="s">
        <v>19</v>
      </c>
      <c r="J39" s="178">
        <v>3.1783039999999998</v>
      </c>
      <c r="N39" s="6" t="s">
        <v>180</v>
      </c>
      <c r="O39" s="6" t="s">
        <v>19</v>
      </c>
      <c r="P39" s="178">
        <v>2.6812999999999998</v>
      </c>
      <c r="T39" s="6" t="s">
        <v>180</v>
      </c>
      <c r="U39" s="6" t="s">
        <v>19</v>
      </c>
      <c r="V39" s="178">
        <v>3.4829210000000002</v>
      </c>
    </row>
    <row r="40" spans="1:23" x14ac:dyDescent="0.25">
      <c r="B40" s="6" t="s">
        <v>119</v>
      </c>
      <c r="C40" s="6" t="s">
        <v>19</v>
      </c>
      <c r="D40" s="178">
        <f t="shared" si="3"/>
        <v>0</v>
      </c>
      <c r="H40" s="6" t="s">
        <v>119</v>
      </c>
      <c r="I40" s="6" t="s">
        <v>19</v>
      </c>
      <c r="J40" s="178">
        <v>0</v>
      </c>
      <c r="N40" s="6" t="s">
        <v>119</v>
      </c>
      <c r="O40" s="6" t="s">
        <v>19</v>
      </c>
      <c r="P40" s="178">
        <v>0</v>
      </c>
      <c r="T40" s="6" t="s">
        <v>119</v>
      </c>
      <c r="U40" s="6" t="s">
        <v>19</v>
      </c>
      <c r="V40" s="178">
        <v>0</v>
      </c>
    </row>
    <row r="41" spans="1:23" x14ac:dyDescent="0.25">
      <c r="B41" s="6" t="s">
        <v>29</v>
      </c>
      <c r="C41" s="6" t="s">
        <v>30</v>
      </c>
      <c r="D41" s="178">
        <f t="shared" si="3"/>
        <v>3.3357199999999998</v>
      </c>
      <c r="H41" s="6" t="s">
        <v>29</v>
      </c>
      <c r="I41" s="6" t="s">
        <v>30</v>
      </c>
      <c r="J41" s="178">
        <v>3.351</v>
      </c>
      <c r="N41" s="6" t="s">
        <v>29</v>
      </c>
      <c r="O41" s="6" t="s">
        <v>30</v>
      </c>
      <c r="P41" s="178">
        <v>3.3089750000000002</v>
      </c>
      <c r="T41" s="6" t="s">
        <v>29</v>
      </c>
      <c r="U41" s="6" t="s">
        <v>30</v>
      </c>
      <c r="V41" s="178">
        <v>3.242219</v>
      </c>
    </row>
    <row r="42" spans="1:23" x14ac:dyDescent="0.25">
      <c r="B42" s="6" t="s">
        <v>31</v>
      </c>
      <c r="C42" s="6" t="s">
        <v>30</v>
      </c>
      <c r="D42" s="178">
        <f t="shared" si="3"/>
        <v>3.1849020000000001</v>
      </c>
      <c r="H42" s="6" t="s">
        <v>31</v>
      </c>
      <c r="I42" s="6" t="s">
        <v>30</v>
      </c>
      <c r="J42" s="178">
        <v>3.197495</v>
      </c>
      <c r="N42" s="6" t="s">
        <v>31</v>
      </c>
      <c r="O42" s="6" t="s">
        <v>30</v>
      </c>
      <c r="P42" s="178">
        <v>3.1657130000000002</v>
      </c>
      <c r="T42" s="6" t="s">
        <v>31</v>
      </c>
      <c r="U42" s="6" t="s">
        <v>30</v>
      </c>
      <c r="V42" s="178">
        <v>3.1025969999999998</v>
      </c>
    </row>
    <row r="43" spans="1:23" x14ac:dyDescent="0.25">
      <c r="B43" s="15" t="s">
        <v>32</v>
      </c>
      <c r="C43" s="15" t="s">
        <v>30</v>
      </c>
      <c r="D43" s="179">
        <f t="shared" si="3"/>
        <v>2.3007430000000002</v>
      </c>
      <c r="H43" s="15" t="s">
        <v>32</v>
      </c>
      <c r="I43" s="15" t="s">
        <v>30</v>
      </c>
      <c r="J43" s="179">
        <v>2.2992750000000002</v>
      </c>
      <c r="N43" s="15" t="s">
        <v>32</v>
      </c>
      <c r="O43" s="15" t="s">
        <v>30</v>
      </c>
      <c r="P43" s="179">
        <v>2.2986179999999998</v>
      </c>
      <c r="T43" s="15" t="s">
        <v>32</v>
      </c>
      <c r="U43" s="15" t="s">
        <v>30</v>
      </c>
      <c r="V43" s="179">
        <v>2.3013189999999999</v>
      </c>
    </row>
    <row r="44" spans="1:23" x14ac:dyDescent="0.25">
      <c r="B44" s="6" t="s">
        <v>33</v>
      </c>
      <c r="C44" s="6" t="s">
        <v>30</v>
      </c>
      <c r="D44" s="178">
        <f t="shared" si="3"/>
        <v>2.3985240000000001</v>
      </c>
      <c r="H44" s="6" t="s">
        <v>33</v>
      </c>
      <c r="I44" s="6" t="s">
        <v>30</v>
      </c>
      <c r="J44" s="178">
        <v>2.367829</v>
      </c>
      <c r="N44" s="6" t="s">
        <v>33</v>
      </c>
      <c r="O44" s="6" t="s">
        <v>30</v>
      </c>
      <c r="P44" s="178">
        <v>2.353113</v>
      </c>
      <c r="T44" s="6" t="s">
        <v>33</v>
      </c>
      <c r="U44" s="6" t="s">
        <v>30</v>
      </c>
      <c r="V44" s="178">
        <v>2.3457249999999998</v>
      </c>
    </row>
    <row r="45" spans="1:23" x14ac:dyDescent="0.25">
      <c r="B45" s="15" t="s">
        <v>34</v>
      </c>
      <c r="C45" s="15" t="s">
        <v>19</v>
      </c>
      <c r="D45" s="179">
        <f t="shared" si="3"/>
        <v>0.57847099999999996</v>
      </c>
      <c r="H45" s="15" t="s">
        <v>34</v>
      </c>
      <c r="I45" s="15" t="s">
        <v>19</v>
      </c>
      <c r="J45" s="179">
        <v>0.58261200000000002</v>
      </c>
      <c r="N45" s="15" t="s">
        <v>34</v>
      </c>
      <c r="O45" s="15" t="s">
        <v>19</v>
      </c>
      <c r="P45" s="179">
        <v>0.59178799999999998</v>
      </c>
      <c r="T45" s="15" t="s">
        <v>34</v>
      </c>
      <c r="U45" s="15" t="s">
        <v>19</v>
      </c>
      <c r="V45" s="179">
        <v>0.57597799999999999</v>
      </c>
    </row>
    <row r="46" spans="1:23" s="36" customFormat="1" x14ac:dyDescent="0.25">
      <c r="A46" s="35"/>
      <c r="B46" s="18" t="s">
        <v>225</v>
      </c>
      <c r="C46" s="18" t="s">
        <v>19</v>
      </c>
      <c r="D46" s="180">
        <f t="shared" si="3"/>
        <v>0</v>
      </c>
      <c r="E46" s="180"/>
      <c r="G46" s="35"/>
      <c r="H46" s="18" t="s">
        <v>225</v>
      </c>
      <c r="I46" s="18" t="s">
        <v>19</v>
      </c>
      <c r="J46" s="180">
        <v>0</v>
      </c>
      <c r="K46" s="180"/>
      <c r="M46" s="35"/>
      <c r="N46" s="18" t="s">
        <v>225</v>
      </c>
      <c r="O46" s="18" t="s">
        <v>19</v>
      </c>
      <c r="P46" s="180">
        <v>0</v>
      </c>
      <c r="Q46" s="180"/>
      <c r="S46" s="35"/>
      <c r="T46" s="18" t="s">
        <v>225</v>
      </c>
      <c r="U46" s="18" t="s">
        <v>19</v>
      </c>
      <c r="V46" s="180">
        <v>0</v>
      </c>
      <c r="W46" s="180"/>
    </row>
    <row r="47" spans="1:23" s="36" customFormat="1" x14ac:dyDescent="0.25">
      <c r="A47" s="35"/>
      <c r="B47" s="18" t="s">
        <v>226</v>
      </c>
      <c r="C47" s="18" t="s">
        <v>19</v>
      </c>
      <c r="D47" s="180">
        <f t="shared" si="3"/>
        <v>0</v>
      </c>
      <c r="E47" s="180"/>
      <c r="G47" s="35"/>
      <c r="H47" s="18" t="s">
        <v>226</v>
      </c>
      <c r="I47" s="18" t="s">
        <v>19</v>
      </c>
      <c r="J47" s="180">
        <v>0</v>
      </c>
      <c r="K47" s="180"/>
      <c r="M47" s="35"/>
      <c r="N47" s="18" t="s">
        <v>226</v>
      </c>
      <c r="O47" s="18" t="s">
        <v>19</v>
      </c>
      <c r="P47" s="180">
        <v>0</v>
      </c>
      <c r="Q47" s="180"/>
      <c r="S47" s="35"/>
      <c r="T47" s="18" t="s">
        <v>226</v>
      </c>
      <c r="U47" s="18" t="s">
        <v>19</v>
      </c>
      <c r="V47" s="180">
        <v>0</v>
      </c>
      <c r="W47" s="180"/>
    </row>
    <row r="48" spans="1:23" x14ac:dyDescent="0.25">
      <c r="B48" s="6" t="s">
        <v>35</v>
      </c>
      <c r="C48" s="6" t="s">
        <v>19</v>
      </c>
      <c r="D48" s="178">
        <f t="shared" si="3"/>
        <v>0.53317199999999998</v>
      </c>
      <c r="H48" s="6" t="s">
        <v>35</v>
      </c>
      <c r="I48" s="6" t="s">
        <v>19</v>
      </c>
      <c r="J48" s="178">
        <v>0.50013099999999999</v>
      </c>
      <c r="N48" s="6" t="s">
        <v>35</v>
      </c>
      <c r="O48" s="6" t="s">
        <v>19</v>
      </c>
      <c r="P48" s="178">
        <v>0.482761</v>
      </c>
      <c r="T48" s="6" t="s">
        <v>35</v>
      </c>
      <c r="U48" s="6" t="s">
        <v>19</v>
      </c>
      <c r="V48" s="178">
        <v>0.47714400000000001</v>
      </c>
    </row>
    <row r="49" spans="2:23" x14ac:dyDescent="0.25">
      <c r="B49" s="15" t="s">
        <v>36</v>
      </c>
      <c r="C49" s="15" t="s">
        <v>19</v>
      </c>
      <c r="D49" s="179">
        <f t="shared" si="3"/>
        <v>0.31750699999999998</v>
      </c>
      <c r="H49" s="15" t="s">
        <v>36</v>
      </c>
      <c r="I49" s="15" t="s">
        <v>19</v>
      </c>
      <c r="J49" s="179">
        <v>0.32344400000000001</v>
      </c>
      <c r="N49" s="15" t="s">
        <v>36</v>
      </c>
      <c r="O49" s="15" t="s">
        <v>19</v>
      </c>
      <c r="P49" s="179">
        <v>0.32466200000000001</v>
      </c>
      <c r="T49" s="15" t="s">
        <v>36</v>
      </c>
      <c r="U49" s="15" t="s">
        <v>19</v>
      </c>
      <c r="V49" s="179">
        <v>0.316915</v>
      </c>
    </row>
    <row r="50" spans="2:23" x14ac:dyDescent="0.25">
      <c r="B50" s="6" t="s">
        <v>37</v>
      </c>
      <c r="C50" s="6" t="s">
        <v>19</v>
      </c>
      <c r="D50" s="178">
        <f t="shared" si="3"/>
        <v>0.28549099999999999</v>
      </c>
      <c r="H50" s="6" t="s">
        <v>37</v>
      </c>
      <c r="I50" s="6" t="s">
        <v>19</v>
      </c>
      <c r="J50" s="178">
        <v>0.27331299999999997</v>
      </c>
      <c r="N50" s="6" t="s">
        <v>37</v>
      </c>
      <c r="O50" s="6" t="s">
        <v>19</v>
      </c>
      <c r="P50" s="178">
        <v>0.27564499999999997</v>
      </c>
      <c r="T50" s="6" t="s">
        <v>37</v>
      </c>
      <c r="U50" s="6" t="s">
        <v>19</v>
      </c>
      <c r="V50" s="178">
        <v>0.248359</v>
      </c>
    </row>
    <row r="51" spans="2:23" x14ac:dyDescent="0.25">
      <c r="B51" s="6" t="s">
        <v>38</v>
      </c>
      <c r="C51" s="6" t="s">
        <v>19</v>
      </c>
      <c r="D51" s="178">
        <f t="shared" si="3"/>
        <v>0.33901399999999998</v>
      </c>
      <c r="H51" s="6" t="s">
        <v>38</v>
      </c>
      <c r="I51" s="6" t="s">
        <v>19</v>
      </c>
      <c r="J51" s="178">
        <v>0.370083</v>
      </c>
      <c r="N51" s="6" t="s">
        <v>38</v>
      </c>
      <c r="O51" s="6" t="s">
        <v>19</v>
      </c>
      <c r="P51" s="178">
        <v>0.35677199999999998</v>
      </c>
      <c r="T51" s="6" t="s">
        <v>38</v>
      </c>
      <c r="U51" s="6" t="s">
        <v>19</v>
      </c>
      <c r="V51" s="178">
        <v>0.35296699999999998</v>
      </c>
    </row>
    <row r="52" spans="2:23" x14ac:dyDescent="0.25">
      <c r="B52" s="6" t="s">
        <v>39</v>
      </c>
      <c r="C52" s="6" t="s">
        <v>19</v>
      </c>
      <c r="D52" s="178">
        <f t="shared" si="3"/>
        <v>0.31766499999999998</v>
      </c>
      <c r="H52" s="6" t="s">
        <v>39</v>
      </c>
      <c r="I52" s="6" t="s">
        <v>19</v>
      </c>
      <c r="J52" s="178">
        <v>0.27868700000000002</v>
      </c>
      <c r="N52" s="6" t="s">
        <v>39</v>
      </c>
      <c r="O52" s="6" t="s">
        <v>19</v>
      </c>
      <c r="P52" s="178">
        <v>0.26009900000000002</v>
      </c>
      <c r="T52" s="6" t="s">
        <v>39</v>
      </c>
      <c r="U52" s="6" t="s">
        <v>19</v>
      </c>
      <c r="V52" s="178">
        <v>0.26222899999999999</v>
      </c>
    </row>
    <row r="53" spans="2:23" x14ac:dyDescent="0.25">
      <c r="B53" s="15" t="s">
        <v>40</v>
      </c>
      <c r="C53" s="15" t="s">
        <v>19</v>
      </c>
      <c r="D53" s="179">
        <f t="shared" si="3"/>
        <v>0.10199999999999999</v>
      </c>
      <c r="H53" s="15" t="s">
        <v>40</v>
      </c>
      <c r="I53" s="15" t="s">
        <v>19</v>
      </c>
      <c r="J53" s="179">
        <v>0.10199999999999999</v>
      </c>
      <c r="N53" s="15" t="s">
        <v>40</v>
      </c>
      <c r="O53" s="15" t="s">
        <v>19</v>
      </c>
      <c r="P53" s="179">
        <v>0.10199999999999999</v>
      </c>
      <c r="T53" s="15" t="s">
        <v>40</v>
      </c>
      <c r="U53" s="15" t="s">
        <v>19</v>
      </c>
      <c r="V53" s="179">
        <v>0.10199999999999999</v>
      </c>
    </row>
    <row r="54" spans="2:23" x14ac:dyDescent="0.25">
      <c r="B54" s="6" t="s">
        <v>41</v>
      </c>
      <c r="C54" s="6" t="s">
        <v>19</v>
      </c>
      <c r="D54" s="178">
        <f t="shared" si="3"/>
        <v>9.1800000000000007E-2</v>
      </c>
      <c r="H54" s="6" t="s">
        <v>41</v>
      </c>
      <c r="I54" s="6" t="s">
        <v>19</v>
      </c>
      <c r="J54" s="178">
        <v>9.1800000000000007E-2</v>
      </c>
      <c r="N54" s="6" t="s">
        <v>41</v>
      </c>
      <c r="O54" s="6" t="s">
        <v>19</v>
      </c>
      <c r="P54" s="178">
        <v>9.1800000000000007E-2</v>
      </c>
      <c r="T54" s="6" t="s">
        <v>41</v>
      </c>
      <c r="U54" s="6" t="s">
        <v>19</v>
      </c>
      <c r="V54" s="178">
        <v>9.1800000000000007E-2</v>
      </c>
    </row>
    <row r="55" spans="2:23" x14ac:dyDescent="0.25">
      <c r="B55" s="6" t="s">
        <v>42</v>
      </c>
      <c r="C55" s="6" t="s">
        <v>19</v>
      </c>
      <c r="D55" s="178">
        <f t="shared" si="3"/>
        <v>9.3840000000000007E-2</v>
      </c>
      <c r="H55" s="6" t="s">
        <v>42</v>
      </c>
      <c r="I55" s="6" t="s">
        <v>19</v>
      </c>
      <c r="J55" s="178">
        <v>9.3840000000000007E-2</v>
      </c>
      <c r="N55" s="6" t="s">
        <v>42</v>
      </c>
      <c r="O55" s="6" t="s">
        <v>19</v>
      </c>
      <c r="P55" s="178">
        <v>9.3840000000000007E-2</v>
      </c>
      <c r="T55" s="6" t="s">
        <v>42</v>
      </c>
      <c r="U55" s="6" t="s">
        <v>19</v>
      </c>
      <c r="V55" s="178">
        <v>9.3840000000000007E-2</v>
      </c>
    </row>
    <row r="56" spans="2:23" x14ac:dyDescent="0.25">
      <c r="B56" s="15" t="s">
        <v>43</v>
      </c>
      <c r="C56" s="15" t="s">
        <v>44</v>
      </c>
      <c r="D56" s="183">
        <f t="shared" si="3"/>
        <v>500</v>
      </c>
      <c r="E56" s="184"/>
      <c r="H56" s="15" t="s">
        <v>43</v>
      </c>
      <c r="I56" s="15" t="s">
        <v>44</v>
      </c>
      <c r="J56" s="183">
        <v>500</v>
      </c>
      <c r="K56" s="184"/>
      <c r="N56" s="15" t="s">
        <v>43</v>
      </c>
      <c r="O56" s="15" t="s">
        <v>44</v>
      </c>
      <c r="P56" s="183">
        <v>500</v>
      </c>
      <c r="Q56" s="184"/>
      <c r="T56" s="15" t="s">
        <v>43</v>
      </c>
      <c r="U56" s="15" t="s">
        <v>44</v>
      </c>
      <c r="V56" s="183">
        <v>500</v>
      </c>
      <c r="W56" s="184"/>
    </row>
    <row r="57" spans="2:23" x14ac:dyDescent="0.25">
      <c r="B57" s="176" t="s">
        <v>45</v>
      </c>
      <c r="C57" s="176" t="s">
        <v>46</v>
      </c>
      <c r="D57" s="182">
        <f t="shared" si="3"/>
        <v>1.0849610000000001</v>
      </c>
      <c r="H57" s="176" t="s">
        <v>45</v>
      </c>
      <c r="I57" s="176" t="s">
        <v>46</v>
      </c>
      <c r="J57" s="182">
        <v>1.16492</v>
      </c>
      <c r="N57" s="176" t="s">
        <v>45</v>
      </c>
      <c r="O57" s="176" t="s">
        <v>46</v>
      </c>
      <c r="P57" s="182">
        <v>1.2258389999999999</v>
      </c>
      <c r="T57" s="176" t="s">
        <v>45</v>
      </c>
      <c r="U57" s="176" t="s">
        <v>46</v>
      </c>
      <c r="V57" s="182">
        <v>1.207136</v>
      </c>
    </row>
    <row r="58" spans="2:23" x14ac:dyDescent="0.25">
      <c r="B58" s="6" t="s">
        <v>47</v>
      </c>
      <c r="C58" s="6" t="s">
        <v>46</v>
      </c>
      <c r="D58" s="178">
        <f t="shared" si="3"/>
        <v>1.8219160000000001</v>
      </c>
      <c r="H58" s="6" t="s">
        <v>47</v>
      </c>
      <c r="I58" s="6" t="s">
        <v>46</v>
      </c>
      <c r="J58" s="178">
        <v>1.8012790000000001</v>
      </c>
      <c r="N58" s="6" t="s">
        <v>47</v>
      </c>
      <c r="O58" s="6" t="s">
        <v>46</v>
      </c>
      <c r="P58" s="178">
        <v>1.822778</v>
      </c>
      <c r="T58" s="6" t="s">
        <v>47</v>
      </c>
      <c r="U58" s="6" t="s">
        <v>46</v>
      </c>
      <c r="V58" s="178">
        <v>1.8174520000000001</v>
      </c>
    </row>
    <row r="59" spans="2:23" x14ac:dyDescent="0.25">
      <c r="B59" s="6" t="s">
        <v>48</v>
      </c>
      <c r="C59" s="6" t="s">
        <v>46</v>
      </c>
      <c r="D59" s="178">
        <f t="shared" ref="D59:D90" si="4">IFERROR(VLOOKUP(B59,raw_2,7,FALSE),0)</f>
        <v>2.0262340000000001</v>
      </c>
      <c r="H59" s="6" t="s">
        <v>48</v>
      </c>
      <c r="I59" s="6" t="s">
        <v>46</v>
      </c>
      <c r="J59" s="178">
        <v>2.1316700000000002</v>
      </c>
      <c r="N59" s="6" t="s">
        <v>48</v>
      </c>
      <c r="O59" s="6" t="s">
        <v>46</v>
      </c>
      <c r="P59" s="178">
        <v>2.1469170000000002</v>
      </c>
      <c r="T59" s="6" t="s">
        <v>48</v>
      </c>
      <c r="U59" s="6" t="s">
        <v>46</v>
      </c>
      <c r="V59" s="178">
        <v>2.319134</v>
      </c>
    </row>
    <row r="60" spans="2:23" x14ac:dyDescent="0.25">
      <c r="B60" s="6" t="s">
        <v>181</v>
      </c>
      <c r="C60" s="6" t="s">
        <v>46</v>
      </c>
      <c r="D60" s="178">
        <f t="shared" si="4"/>
        <v>1.7063330000000001</v>
      </c>
      <c r="H60" s="6" t="s">
        <v>181</v>
      </c>
      <c r="I60" s="6" t="s">
        <v>46</v>
      </c>
      <c r="J60" s="178">
        <v>1.5742750000000001</v>
      </c>
      <c r="N60" s="6" t="s">
        <v>181</v>
      </c>
      <c r="O60" s="6" t="s">
        <v>46</v>
      </c>
      <c r="P60" s="178">
        <v>1.658725</v>
      </c>
      <c r="T60" s="6" t="s">
        <v>181</v>
      </c>
      <c r="U60" s="6" t="s">
        <v>46</v>
      </c>
      <c r="V60" s="178">
        <v>1.6318170000000001</v>
      </c>
    </row>
    <row r="61" spans="2:23" x14ac:dyDescent="0.25">
      <c r="B61" s="15" t="s">
        <v>49</v>
      </c>
      <c r="C61" s="15" t="s">
        <v>19</v>
      </c>
      <c r="D61" s="179">
        <f t="shared" si="4"/>
        <v>0.21429100000000001</v>
      </c>
      <c r="H61" s="15" t="s">
        <v>49</v>
      </c>
      <c r="I61" s="15" t="s">
        <v>19</v>
      </c>
      <c r="J61" s="179">
        <v>0.22744600000000001</v>
      </c>
      <c r="N61" s="15" t="s">
        <v>49</v>
      </c>
      <c r="O61" s="15" t="s">
        <v>19</v>
      </c>
      <c r="P61" s="179">
        <v>0.22630700000000001</v>
      </c>
      <c r="T61" s="15" t="s">
        <v>49</v>
      </c>
      <c r="U61" s="15" t="s">
        <v>19</v>
      </c>
      <c r="V61" s="179">
        <v>0.21054500000000001</v>
      </c>
    </row>
    <row r="62" spans="2:23" x14ac:dyDescent="0.25">
      <c r="B62" s="6" t="s">
        <v>50</v>
      </c>
      <c r="C62" s="6" t="s">
        <v>19</v>
      </c>
      <c r="D62" s="178">
        <f t="shared" si="4"/>
        <v>0.86648700000000001</v>
      </c>
      <c r="H62" s="6" t="s">
        <v>50</v>
      </c>
      <c r="I62" s="6" t="s">
        <v>19</v>
      </c>
      <c r="J62" s="178">
        <v>0.85643199999999997</v>
      </c>
      <c r="N62" s="6" t="s">
        <v>50</v>
      </c>
      <c r="O62" s="6" t="s">
        <v>19</v>
      </c>
      <c r="P62" s="178">
        <v>0.834032</v>
      </c>
      <c r="T62" s="6" t="s">
        <v>50</v>
      </c>
      <c r="U62" s="6" t="s">
        <v>19</v>
      </c>
      <c r="V62" s="178">
        <v>0.79241700000000004</v>
      </c>
    </row>
    <row r="63" spans="2:23" x14ac:dyDescent="0.25">
      <c r="B63" s="6" t="s">
        <v>51</v>
      </c>
      <c r="C63" s="6" t="s">
        <v>19</v>
      </c>
      <c r="D63" s="178">
        <f t="shared" si="4"/>
        <v>0.31549199999999999</v>
      </c>
      <c r="H63" s="6" t="s">
        <v>51</v>
      </c>
      <c r="I63" s="6" t="s">
        <v>19</v>
      </c>
      <c r="J63" s="178">
        <v>0.349879</v>
      </c>
      <c r="N63" s="6" t="s">
        <v>51</v>
      </c>
      <c r="O63" s="6" t="s">
        <v>19</v>
      </c>
      <c r="P63" s="178">
        <v>0.35108899999999998</v>
      </c>
      <c r="T63" s="6" t="s">
        <v>51</v>
      </c>
      <c r="U63" s="6" t="s">
        <v>19</v>
      </c>
      <c r="V63" s="178">
        <v>0.362537</v>
      </c>
    </row>
    <row r="64" spans="2:23" x14ac:dyDescent="0.25">
      <c r="B64" s="6" t="s">
        <v>52</v>
      </c>
      <c r="C64" s="6" t="s">
        <v>19</v>
      </c>
      <c r="D64" s="178">
        <f t="shared" si="4"/>
        <v>0.21900600000000001</v>
      </c>
      <c r="H64" s="6" t="s">
        <v>52</v>
      </c>
      <c r="I64" s="6" t="s">
        <v>19</v>
      </c>
      <c r="J64" s="178">
        <v>0.224716</v>
      </c>
      <c r="N64" s="6" t="s">
        <v>52</v>
      </c>
      <c r="O64" s="6" t="s">
        <v>19</v>
      </c>
      <c r="P64" s="178">
        <v>0.21279600000000001</v>
      </c>
      <c r="T64" s="6" t="s">
        <v>52</v>
      </c>
      <c r="U64" s="6" t="s">
        <v>19</v>
      </c>
      <c r="V64" s="178">
        <v>0.18665300000000001</v>
      </c>
    </row>
    <row r="65" spans="2:22" x14ac:dyDescent="0.25">
      <c r="B65" s="6" t="s">
        <v>53</v>
      </c>
      <c r="C65" s="6" t="s">
        <v>19</v>
      </c>
      <c r="D65" s="178">
        <f t="shared" si="4"/>
        <v>0.41147400000000001</v>
      </c>
      <c r="H65" s="6" t="s">
        <v>53</v>
      </c>
      <c r="I65" s="6" t="s">
        <v>19</v>
      </c>
      <c r="J65" s="178">
        <v>0.37683699999999998</v>
      </c>
      <c r="N65" s="6" t="s">
        <v>53</v>
      </c>
      <c r="O65" s="6" t="s">
        <v>19</v>
      </c>
      <c r="P65" s="178">
        <v>0.37581300000000001</v>
      </c>
      <c r="T65" s="6" t="s">
        <v>53</v>
      </c>
      <c r="U65" s="6" t="s">
        <v>19</v>
      </c>
      <c r="V65" s="178">
        <v>0.28516200000000003</v>
      </c>
    </row>
    <row r="66" spans="2:22" x14ac:dyDescent="0.25">
      <c r="B66" s="15" t="s">
        <v>182</v>
      </c>
      <c r="C66" s="15" t="s">
        <v>19</v>
      </c>
      <c r="D66" s="179">
        <f t="shared" si="4"/>
        <v>0.54250699999999996</v>
      </c>
      <c r="H66" s="15" t="s">
        <v>182</v>
      </c>
      <c r="I66" s="15" t="s">
        <v>19</v>
      </c>
      <c r="J66" s="179">
        <v>0.57581400000000005</v>
      </c>
      <c r="N66" s="15" t="s">
        <v>182</v>
      </c>
      <c r="O66" s="15" t="s">
        <v>19</v>
      </c>
      <c r="P66" s="179">
        <v>0.57292799999999999</v>
      </c>
      <c r="T66" s="15" t="s">
        <v>182</v>
      </c>
      <c r="U66" s="15" t="s">
        <v>19</v>
      </c>
      <c r="V66" s="179">
        <v>0.53302400000000005</v>
      </c>
    </row>
    <row r="67" spans="2:22" x14ac:dyDescent="0.25">
      <c r="B67" s="6" t="s">
        <v>183</v>
      </c>
      <c r="C67" s="6" t="s">
        <v>184</v>
      </c>
      <c r="D67" s="178">
        <f t="shared" si="4"/>
        <v>-2.192625</v>
      </c>
      <c r="H67" s="6" t="s">
        <v>183</v>
      </c>
      <c r="I67" s="6" t="s">
        <v>184</v>
      </c>
      <c r="J67" s="178">
        <v>12.889670000000001</v>
      </c>
      <c r="N67" s="6" t="s">
        <v>183</v>
      </c>
      <c r="O67" s="6" t="s">
        <v>184</v>
      </c>
      <c r="P67" s="178">
        <v>18.864951999999999</v>
      </c>
      <c r="T67" s="6" t="s">
        <v>183</v>
      </c>
      <c r="U67" s="6" t="s">
        <v>184</v>
      </c>
      <c r="V67" s="178">
        <v>63.287084999999998</v>
      </c>
    </row>
    <row r="68" spans="2:22" x14ac:dyDescent="0.25">
      <c r="B68" s="6" t="s">
        <v>54</v>
      </c>
      <c r="C68" s="6" t="s">
        <v>19</v>
      </c>
      <c r="D68" s="178">
        <f t="shared" si="4"/>
        <v>1.222032</v>
      </c>
      <c r="H68" s="6" t="s">
        <v>54</v>
      </c>
      <c r="I68" s="6" t="s">
        <v>19</v>
      </c>
      <c r="J68" s="178">
        <v>1.181551</v>
      </c>
      <c r="N68" s="6" t="s">
        <v>54</v>
      </c>
      <c r="O68" s="6" t="s">
        <v>19</v>
      </c>
      <c r="P68" s="178">
        <v>1.1866509999999999</v>
      </c>
      <c r="T68" s="6" t="s">
        <v>54</v>
      </c>
      <c r="U68" s="6" t="s">
        <v>19</v>
      </c>
      <c r="V68" s="178">
        <v>1.134825</v>
      </c>
    </row>
    <row r="69" spans="2:22" x14ac:dyDescent="0.25">
      <c r="B69" s="15" t="s">
        <v>55</v>
      </c>
      <c r="C69" s="15" t="s">
        <v>19</v>
      </c>
      <c r="D69" s="179">
        <f t="shared" si="4"/>
        <v>1.007843</v>
      </c>
      <c r="H69" s="15" t="s">
        <v>55</v>
      </c>
      <c r="I69" s="15" t="s">
        <v>19</v>
      </c>
      <c r="J69" s="179">
        <v>1.00712</v>
      </c>
      <c r="N69" s="15" t="s">
        <v>55</v>
      </c>
      <c r="O69" s="15" t="s">
        <v>19</v>
      </c>
      <c r="P69" s="179">
        <v>1.0080009999999999</v>
      </c>
      <c r="T69" s="15" t="s">
        <v>55</v>
      </c>
      <c r="U69" s="15" t="s">
        <v>19</v>
      </c>
      <c r="V69" s="179">
        <v>1.00684</v>
      </c>
    </row>
    <row r="70" spans="2:22" x14ac:dyDescent="0.25">
      <c r="B70" s="15" t="s">
        <v>56</v>
      </c>
      <c r="C70" s="15" t="s">
        <v>46</v>
      </c>
      <c r="D70" s="179">
        <f t="shared" si="4"/>
        <v>0.31509599999999999</v>
      </c>
      <c r="H70" s="15" t="s">
        <v>56</v>
      </c>
      <c r="I70" s="15" t="s">
        <v>46</v>
      </c>
      <c r="J70" s="179">
        <v>0.30543199999999998</v>
      </c>
      <c r="N70" s="15" t="s">
        <v>56</v>
      </c>
      <c r="O70" s="15" t="s">
        <v>46</v>
      </c>
      <c r="P70" s="179">
        <v>0.31531399999999998</v>
      </c>
      <c r="T70" s="15" t="s">
        <v>56</v>
      </c>
      <c r="U70" s="15" t="s">
        <v>46</v>
      </c>
      <c r="V70" s="179">
        <v>0.33146399999999998</v>
      </c>
    </row>
    <row r="71" spans="2:22" x14ac:dyDescent="0.25">
      <c r="B71" s="6" t="s">
        <v>57</v>
      </c>
      <c r="C71" s="6" t="s">
        <v>46</v>
      </c>
      <c r="D71" s="178">
        <f t="shared" si="4"/>
        <v>0.29822799999999999</v>
      </c>
      <c r="H71" s="6" t="s">
        <v>57</v>
      </c>
      <c r="I71" s="6" t="s">
        <v>46</v>
      </c>
      <c r="J71" s="178">
        <v>0.32402500000000001</v>
      </c>
      <c r="N71" s="6" t="s">
        <v>57</v>
      </c>
      <c r="O71" s="6" t="s">
        <v>46</v>
      </c>
      <c r="P71" s="178">
        <v>0.25499699999999997</v>
      </c>
      <c r="T71" s="6" t="s">
        <v>57</v>
      </c>
      <c r="U71" s="6" t="s">
        <v>46</v>
      </c>
      <c r="V71" s="178">
        <v>0.23996700000000001</v>
      </c>
    </row>
    <row r="72" spans="2:22" x14ac:dyDescent="0.25">
      <c r="B72" s="15" t="s">
        <v>58</v>
      </c>
      <c r="C72" s="15" t="s">
        <v>46</v>
      </c>
      <c r="D72" s="179">
        <f t="shared" si="4"/>
        <v>0.61332399999999998</v>
      </c>
      <c r="H72" s="15" t="s">
        <v>58</v>
      </c>
      <c r="I72" s="15" t="s">
        <v>46</v>
      </c>
      <c r="J72" s="179">
        <v>0.62945799999999996</v>
      </c>
      <c r="N72" s="15" t="s">
        <v>58</v>
      </c>
      <c r="O72" s="15" t="s">
        <v>46</v>
      </c>
      <c r="P72" s="179">
        <v>0.57031100000000001</v>
      </c>
      <c r="T72" s="15" t="s">
        <v>58</v>
      </c>
      <c r="U72" s="15" t="s">
        <v>46</v>
      </c>
      <c r="V72" s="179">
        <v>0.57143100000000002</v>
      </c>
    </row>
    <row r="73" spans="2:22" x14ac:dyDescent="0.25">
      <c r="B73" s="15" t="s">
        <v>59</v>
      </c>
      <c r="C73" s="15" t="s">
        <v>46</v>
      </c>
      <c r="D73" s="179">
        <f t="shared" si="4"/>
        <v>0.63984300000000005</v>
      </c>
      <c r="H73" s="15" t="s">
        <v>59</v>
      </c>
      <c r="I73" s="15" t="s">
        <v>46</v>
      </c>
      <c r="J73" s="179">
        <v>0.63948700000000003</v>
      </c>
      <c r="N73" s="15" t="s">
        <v>59</v>
      </c>
      <c r="O73" s="15" t="s">
        <v>46</v>
      </c>
      <c r="P73" s="179">
        <v>0.63826300000000002</v>
      </c>
      <c r="T73" s="15" t="s">
        <v>59</v>
      </c>
      <c r="U73" s="15" t="s">
        <v>46</v>
      </c>
      <c r="V73" s="179">
        <v>0.64195899999999995</v>
      </c>
    </row>
    <row r="74" spans="2:22" x14ac:dyDescent="0.25">
      <c r="B74" s="15" t="s">
        <v>60</v>
      </c>
      <c r="C74" s="15" t="s">
        <v>46</v>
      </c>
      <c r="D74" s="179">
        <f t="shared" si="4"/>
        <v>0.18579499999999999</v>
      </c>
      <c r="H74" s="15" t="s">
        <v>60</v>
      </c>
      <c r="I74" s="15" t="s">
        <v>46</v>
      </c>
      <c r="J74" s="179">
        <v>0.19977200000000001</v>
      </c>
      <c r="N74" s="15" t="s">
        <v>60</v>
      </c>
      <c r="O74" s="15" t="s">
        <v>46</v>
      </c>
      <c r="P74" s="179">
        <v>0.18321399999999999</v>
      </c>
      <c r="T74" s="15" t="s">
        <v>60</v>
      </c>
      <c r="U74" s="15" t="s">
        <v>46</v>
      </c>
      <c r="V74" s="179">
        <v>0.18562400000000001</v>
      </c>
    </row>
    <row r="75" spans="2:22" x14ac:dyDescent="0.25">
      <c r="B75" s="15" t="s">
        <v>61</v>
      </c>
      <c r="C75" s="15" t="s">
        <v>46</v>
      </c>
      <c r="D75" s="179">
        <f t="shared" si="4"/>
        <v>0.65765300000000004</v>
      </c>
      <c r="H75" s="15" t="s">
        <v>61</v>
      </c>
      <c r="I75" s="15" t="s">
        <v>46</v>
      </c>
      <c r="J75" s="179">
        <v>0.70646699999999996</v>
      </c>
      <c r="N75" s="15" t="s">
        <v>61</v>
      </c>
      <c r="O75" s="15" t="s">
        <v>46</v>
      </c>
      <c r="P75" s="179">
        <v>0.63322000000000001</v>
      </c>
      <c r="T75" s="15" t="s">
        <v>61</v>
      </c>
      <c r="U75" s="15" t="s">
        <v>46</v>
      </c>
      <c r="V75" s="179">
        <v>0.57561399999999996</v>
      </c>
    </row>
    <row r="76" spans="2:22" x14ac:dyDescent="0.25">
      <c r="B76" s="15" t="s">
        <v>62</v>
      </c>
      <c r="C76" s="15" t="s">
        <v>46</v>
      </c>
      <c r="D76" s="179">
        <f t="shared" si="4"/>
        <v>0.79796699999999998</v>
      </c>
      <c r="H76" s="15" t="s">
        <v>62</v>
      </c>
      <c r="I76" s="15" t="s">
        <v>46</v>
      </c>
      <c r="J76" s="179">
        <v>0.82914200000000005</v>
      </c>
      <c r="N76" s="15" t="s">
        <v>62</v>
      </c>
      <c r="O76" s="15" t="s">
        <v>46</v>
      </c>
      <c r="P76" s="179">
        <v>0.74724199999999996</v>
      </c>
      <c r="T76" s="15" t="s">
        <v>62</v>
      </c>
      <c r="U76" s="15" t="s">
        <v>46</v>
      </c>
      <c r="V76" s="179">
        <v>0.66011200000000003</v>
      </c>
    </row>
    <row r="77" spans="2:22" x14ac:dyDescent="0.25">
      <c r="B77" s="6" t="s">
        <v>63</v>
      </c>
      <c r="C77" s="6" t="s">
        <v>46</v>
      </c>
      <c r="D77" s="178">
        <f t="shared" si="4"/>
        <v>1.6196790000000001</v>
      </c>
      <c r="H77" s="6" t="s">
        <v>63</v>
      </c>
      <c r="I77" s="6" t="s">
        <v>46</v>
      </c>
      <c r="J77" s="178">
        <v>1.513941</v>
      </c>
      <c r="N77" s="6" t="s">
        <v>63</v>
      </c>
      <c r="O77" s="6" t="s">
        <v>46</v>
      </c>
      <c r="P77" s="178">
        <v>1.399543</v>
      </c>
      <c r="T77" s="6" t="s">
        <v>63</v>
      </c>
      <c r="U77" s="6" t="s">
        <v>46</v>
      </c>
      <c r="V77" s="178">
        <v>1.051064</v>
      </c>
    </row>
    <row r="78" spans="2:22" x14ac:dyDescent="0.25">
      <c r="B78" s="6" t="s">
        <v>64</v>
      </c>
      <c r="C78" s="6" t="s">
        <v>46</v>
      </c>
      <c r="D78" s="178">
        <f t="shared" si="4"/>
        <v>1.0148870000000001</v>
      </c>
      <c r="H78" s="6" t="s">
        <v>64</v>
      </c>
      <c r="I78" s="6" t="s">
        <v>46</v>
      </c>
      <c r="J78" s="178">
        <v>1.059666</v>
      </c>
      <c r="N78" s="6" t="s">
        <v>64</v>
      </c>
      <c r="O78" s="6" t="s">
        <v>46</v>
      </c>
      <c r="P78" s="178">
        <v>1.1274599999999999</v>
      </c>
      <c r="T78" s="6" t="s">
        <v>64</v>
      </c>
      <c r="U78" s="6" t="s">
        <v>46</v>
      </c>
      <c r="V78" s="178">
        <v>1.1029679999999999</v>
      </c>
    </row>
    <row r="79" spans="2:22" x14ac:dyDescent="0.25">
      <c r="B79" s="6" t="s">
        <v>65</v>
      </c>
      <c r="C79" s="6" t="s">
        <v>46</v>
      </c>
      <c r="D79" s="178">
        <f t="shared" si="4"/>
        <v>0.46356399999999998</v>
      </c>
      <c r="H79" s="6" t="s">
        <v>65</v>
      </c>
      <c r="I79" s="6" t="s">
        <v>46</v>
      </c>
      <c r="J79" s="178">
        <v>0.45805099999999999</v>
      </c>
      <c r="N79" s="6" t="s">
        <v>65</v>
      </c>
      <c r="O79" s="6" t="s">
        <v>46</v>
      </c>
      <c r="P79" s="178">
        <v>0.42192200000000002</v>
      </c>
      <c r="T79" s="6" t="s">
        <v>65</v>
      </c>
      <c r="U79" s="6" t="s">
        <v>46</v>
      </c>
      <c r="V79" s="178">
        <v>0.37625399999999998</v>
      </c>
    </row>
    <row r="80" spans="2:22" x14ac:dyDescent="0.25">
      <c r="B80" s="6" t="s">
        <v>66</v>
      </c>
      <c r="C80" s="6" t="s">
        <v>46</v>
      </c>
      <c r="D80" s="178">
        <f t="shared" si="4"/>
        <v>0.80608500000000005</v>
      </c>
      <c r="H80" s="6" t="s">
        <v>66</v>
      </c>
      <c r="I80" s="6" t="s">
        <v>46</v>
      </c>
      <c r="J80" s="178">
        <v>0.88261400000000001</v>
      </c>
      <c r="N80" s="6" t="s">
        <v>66</v>
      </c>
      <c r="O80" s="6" t="s">
        <v>46</v>
      </c>
      <c r="P80" s="178">
        <v>0.76588000000000001</v>
      </c>
      <c r="T80" s="6" t="s">
        <v>66</v>
      </c>
      <c r="U80" s="6" t="s">
        <v>46</v>
      </c>
      <c r="V80" s="178">
        <v>0.67812700000000004</v>
      </c>
    </row>
    <row r="81" spans="2:22" x14ac:dyDescent="0.25">
      <c r="B81" s="6" t="s">
        <v>67</v>
      </c>
      <c r="C81" s="6" t="s">
        <v>46</v>
      </c>
      <c r="D81" s="178">
        <f t="shared" si="4"/>
        <v>0.59416999999999998</v>
      </c>
      <c r="H81" s="6" t="s">
        <v>67</v>
      </c>
      <c r="I81" s="6" t="s">
        <v>46</v>
      </c>
      <c r="J81" s="178">
        <v>0.64212199999999997</v>
      </c>
      <c r="N81" s="6" t="s">
        <v>67</v>
      </c>
      <c r="O81" s="6" t="s">
        <v>46</v>
      </c>
      <c r="P81" s="178">
        <v>0.57245900000000005</v>
      </c>
      <c r="T81" s="6" t="s">
        <v>67</v>
      </c>
      <c r="U81" s="6" t="s">
        <v>46</v>
      </c>
      <c r="V81" s="178">
        <v>0.46968199999999999</v>
      </c>
    </row>
    <row r="82" spans="2:22" x14ac:dyDescent="0.25">
      <c r="B82" s="6" t="s">
        <v>68</v>
      </c>
      <c r="C82" s="6" t="s">
        <v>46</v>
      </c>
      <c r="D82" s="178">
        <f t="shared" si="4"/>
        <v>1.400255</v>
      </c>
      <c r="H82" s="6" t="s">
        <v>68</v>
      </c>
      <c r="I82" s="6" t="s">
        <v>46</v>
      </c>
      <c r="J82" s="178">
        <v>1.5247360000000001</v>
      </c>
      <c r="N82" s="6" t="s">
        <v>68</v>
      </c>
      <c r="O82" s="6" t="s">
        <v>46</v>
      </c>
      <c r="P82" s="178">
        <v>1.3383389999999999</v>
      </c>
      <c r="T82" s="6" t="s">
        <v>68</v>
      </c>
      <c r="U82" s="6" t="s">
        <v>46</v>
      </c>
      <c r="V82" s="178">
        <v>1.1478079999999999</v>
      </c>
    </row>
    <row r="83" spans="2:22" x14ac:dyDescent="0.25">
      <c r="B83" s="6" t="s">
        <v>69</v>
      </c>
      <c r="C83" s="6" t="s">
        <v>70</v>
      </c>
      <c r="D83" s="178">
        <f t="shared" si="4"/>
        <v>10.078431</v>
      </c>
      <c r="H83" s="6" t="s">
        <v>69</v>
      </c>
      <c r="I83" s="6" t="s">
        <v>70</v>
      </c>
      <c r="J83" s="178">
        <v>10.071203000000001</v>
      </c>
      <c r="N83" s="6" t="s">
        <v>69</v>
      </c>
      <c r="O83" s="6" t="s">
        <v>70</v>
      </c>
      <c r="P83" s="178">
        <v>10.080012999999999</v>
      </c>
      <c r="T83" s="6" t="s">
        <v>69</v>
      </c>
      <c r="U83" s="6" t="s">
        <v>70</v>
      </c>
      <c r="V83" s="178">
        <v>10.068403</v>
      </c>
    </row>
    <row r="84" spans="2:22" x14ac:dyDescent="0.25">
      <c r="B84" s="15" t="s">
        <v>71</v>
      </c>
      <c r="C84" s="15" t="s">
        <v>72</v>
      </c>
      <c r="D84" s="179">
        <f t="shared" si="4"/>
        <v>4.3805120000000004</v>
      </c>
      <c r="H84" s="15" t="s">
        <v>71</v>
      </c>
      <c r="I84" s="15" t="s">
        <v>72</v>
      </c>
      <c r="J84" s="179">
        <v>4.3801639999999997</v>
      </c>
      <c r="N84" s="15" t="s">
        <v>71</v>
      </c>
      <c r="O84" s="15" t="s">
        <v>72</v>
      </c>
      <c r="P84" s="179">
        <v>4.3852500000000001</v>
      </c>
      <c r="T84" s="15" t="s">
        <v>71</v>
      </c>
      <c r="U84" s="15" t="s">
        <v>72</v>
      </c>
      <c r="V84" s="179">
        <v>4.3750580000000001</v>
      </c>
    </row>
    <row r="85" spans="2:22" x14ac:dyDescent="0.25">
      <c r="B85" s="18" t="s">
        <v>73</v>
      </c>
      <c r="C85" s="18" t="s">
        <v>72</v>
      </c>
      <c r="D85" s="180">
        <f t="shared" si="4"/>
        <v>4.2019299999999999</v>
      </c>
      <c r="H85" s="18" t="s">
        <v>73</v>
      </c>
      <c r="I85" s="18" t="s">
        <v>72</v>
      </c>
      <c r="J85" s="180">
        <v>4.2533500000000002</v>
      </c>
      <c r="N85" s="18" t="s">
        <v>73</v>
      </c>
      <c r="O85" s="18" t="s">
        <v>72</v>
      </c>
      <c r="P85" s="180">
        <v>4.2836930000000004</v>
      </c>
      <c r="T85" s="18" t="s">
        <v>73</v>
      </c>
      <c r="U85" s="18" t="s">
        <v>72</v>
      </c>
      <c r="V85" s="180">
        <v>4.2922349999999998</v>
      </c>
    </row>
    <row r="86" spans="2:22" x14ac:dyDescent="0.25">
      <c r="B86" s="6" t="s">
        <v>74</v>
      </c>
      <c r="C86" s="6" t="s">
        <v>19</v>
      </c>
      <c r="D86" s="178">
        <f t="shared" si="4"/>
        <v>0.31756699999999999</v>
      </c>
      <c r="H86" s="6" t="s">
        <v>74</v>
      </c>
      <c r="I86" s="6" t="s">
        <v>19</v>
      </c>
      <c r="J86" s="178">
        <v>0.30760700000000002</v>
      </c>
      <c r="N86" s="6" t="s">
        <v>74</v>
      </c>
      <c r="O86" s="6" t="s">
        <v>19</v>
      </c>
      <c r="P86" s="178">
        <v>0.31783699999999998</v>
      </c>
      <c r="T86" s="6" t="s">
        <v>74</v>
      </c>
      <c r="U86" s="6" t="s">
        <v>19</v>
      </c>
      <c r="V86" s="178">
        <v>0.333731</v>
      </c>
    </row>
    <row r="87" spans="2:22" x14ac:dyDescent="0.25">
      <c r="B87" s="6" t="s">
        <v>75</v>
      </c>
      <c r="C87" s="6" t="s">
        <v>19</v>
      </c>
      <c r="D87" s="178">
        <f t="shared" si="4"/>
        <v>0.30056699999999997</v>
      </c>
      <c r="H87" s="6" t="s">
        <v>75</v>
      </c>
      <c r="I87" s="6" t="s">
        <v>19</v>
      </c>
      <c r="J87" s="178">
        <v>0.32633200000000001</v>
      </c>
      <c r="N87" s="6" t="s">
        <v>75</v>
      </c>
      <c r="O87" s="6" t="s">
        <v>19</v>
      </c>
      <c r="P87" s="178">
        <v>0.25703799999999999</v>
      </c>
      <c r="T87" s="6" t="s">
        <v>75</v>
      </c>
      <c r="U87" s="6" t="s">
        <v>19</v>
      </c>
      <c r="V87" s="178">
        <v>0.24160799999999999</v>
      </c>
    </row>
    <row r="88" spans="2:22" x14ac:dyDescent="0.25">
      <c r="B88" s="6" t="s">
        <v>76</v>
      </c>
      <c r="C88" s="6" t="s">
        <v>19</v>
      </c>
      <c r="D88" s="178">
        <f t="shared" si="4"/>
        <v>0.61813399999999996</v>
      </c>
      <c r="H88" s="6" t="s">
        <v>76</v>
      </c>
      <c r="I88" s="6" t="s">
        <v>19</v>
      </c>
      <c r="J88" s="178">
        <v>0.63393900000000003</v>
      </c>
      <c r="N88" s="6" t="s">
        <v>76</v>
      </c>
      <c r="O88" s="6" t="s">
        <v>19</v>
      </c>
      <c r="P88" s="178">
        <v>0.57487500000000002</v>
      </c>
      <c r="T88" s="6" t="s">
        <v>76</v>
      </c>
      <c r="U88" s="6" t="s">
        <v>19</v>
      </c>
      <c r="V88" s="178">
        <v>0.57533900000000004</v>
      </c>
    </row>
    <row r="89" spans="2:22" x14ac:dyDescent="0.25">
      <c r="B89" s="6" t="s">
        <v>77</v>
      </c>
      <c r="C89" s="6" t="s">
        <v>19</v>
      </c>
      <c r="D89" s="178">
        <f t="shared" si="4"/>
        <v>0.64486100000000002</v>
      </c>
      <c r="H89" s="6" t="s">
        <v>77</v>
      </c>
      <c r="I89" s="6" t="s">
        <v>19</v>
      </c>
      <c r="J89" s="178">
        <v>0.64403999999999995</v>
      </c>
      <c r="N89" s="6" t="s">
        <v>77</v>
      </c>
      <c r="O89" s="6" t="s">
        <v>19</v>
      </c>
      <c r="P89" s="178">
        <v>0.64337</v>
      </c>
      <c r="T89" s="6" t="s">
        <v>77</v>
      </c>
      <c r="U89" s="6" t="s">
        <v>19</v>
      </c>
      <c r="V89" s="178">
        <v>0.64634999999999998</v>
      </c>
    </row>
    <row r="90" spans="2:22" x14ac:dyDescent="0.25">
      <c r="B90" s="6" t="s">
        <v>78</v>
      </c>
      <c r="C90" s="6" t="s">
        <v>19</v>
      </c>
      <c r="D90" s="178">
        <f t="shared" si="4"/>
        <v>0.187252</v>
      </c>
      <c r="H90" s="6" t="s">
        <v>78</v>
      </c>
      <c r="I90" s="6" t="s">
        <v>19</v>
      </c>
      <c r="J90" s="178">
        <v>0.20119400000000001</v>
      </c>
      <c r="N90" s="6" t="s">
        <v>78</v>
      </c>
      <c r="O90" s="6" t="s">
        <v>19</v>
      </c>
      <c r="P90" s="178">
        <v>0.18468000000000001</v>
      </c>
      <c r="T90" s="6" t="s">
        <v>78</v>
      </c>
      <c r="U90" s="6" t="s">
        <v>19</v>
      </c>
      <c r="V90" s="178">
        <v>0.186894</v>
      </c>
    </row>
    <row r="91" spans="2:22" x14ac:dyDescent="0.25">
      <c r="B91" s="6" t="s">
        <v>79</v>
      </c>
      <c r="C91" s="6" t="s">
        <v>19</v>
      </c>
      <c r="D91" s="178">
        <f t="shared" ref="D91:D122" si="5">IFERROR(VLOOKUP(B91,raw_2,7,FALSE),0)</f>
        <v>0.66281100000000004</v>
      </c>
      <c r="H91" s="6" t="s">
        <v>79</v>
      </c>
      <c r="I91" s="6" t="s">
        <v>19</v>
      </c>
      <c r="J91" s="178">
        <v>0.71149700000000005</v>
      </c>
      <c r="N91" s="6" t="s">
        <v>79</v>
      </c>
      <c r="O91" s="6" t="s">
        <v>19</v>
      </c>
      <c r="P91" s="178">
        <v>0.63828700000000005</v>
      </c>
      <c r="T91" s="6" t="s">
        <v>79</v>
      </c>
      <c r="U91" s="6" t="s">
        <v>19</v>
      </c>
      <c r="V91" s="178">
        <v>0.57955100000000004</v>
      </c>
    </row>
    <row r="92" spans="2:22" x14ac:dyDescent="0.25">
      <c r="B92" s="6" t="s">
        <v>80</v>
      </c>
      <c r="C92" s="6" t="s">
        <v>19</v>
      </c>
      <c r="D92" s="178">
        <f t="shared" si="5"/>
        <v>0.804226</v>
      </c>
      <c r="H92" s="6" t="s">
        <v>80</v>
      </c>
      <c r="I92" s="6" t="s">
        <v>19</v>
      </c>
      <c r="J92" s="178">
        <v>0.83504500000000004</v>
      </c>
      <c r="N92" s="6" t="s">
        <v>80</v>
      </c>
      <c r="O92" s="6" t="s">
        <v>19</v>
      </c>
      <c r="P92" s="178">
        <v>0.75322100000000003</v>
      </c>
      <c r="T92" s="6" t="s">
        <v>80</v>
      </c>
      <c r="U92" s="6" t="s">
        <v>19</v>
      </c>
      <c r="V92" s="178">
        <v>0.66462699999999997</v>
      </c>
    </row>
    <row r="93" spans="2:22" x14ac:dyDescent="0.25">
      <c r="B93" s="6" t="s">
        <v>81</v>
      </c>
      <c r="C93" s="6" t="s">
        <v>19</v>
      </c>
      <c r="D93" s="178">
        <f t="shared" si="5"/>
        <v>1.6323829999999999</v>
      </c>
      <c r="H93" s="6" t="s">
        <v>81</v>
      </c>
      <c r="I93" s="6" t="s">
        <v>19</v>
      </c>
      <c r="J93" s="178">
        <v>1.524721</v>
      </c>
      <c r="N93" s="6" t="s">
        <v>81</v>
      </c>
      <c r="O93" s="6" t="s">
        <v>19</v>
      </c>
      <c r="P93" s="178">
        <v>1.410741</v>
      </c>
      <c r="T93" s="6" t="s">
        <v>81</v>
      </c>
      <c r="U93" s="6" t="s">
        <v>19</v>
      </c>
      <c r="V93" s="178">
        <v>1.058254</v>
      </c>
    </row>
    <row r="94" spans="2:22" x14ac:dyDescent="0.25">
      <c r="B94" s="6" t="s">
        <v>185</v>
      </c>
      <c r="C94" s="6" t="s">
        <v>19</v>
      </c>
      <c r="D94" s="178">
        <f t="shared" si="5"/>
        <v>1.0228470000000001</v>
      </c>
      <c r="H94" s="6" t="s">
        <v>185</v>
      </c>
      <c r="I94" s="6" t="s">
        <v>19</v>
      </c>
      <c r="J94" s="178">
        <v>1.0672109999999999</v>
      </c>
      <c r="N94" s="6" t="s">
        <v>185</v>
      </c>
      <c r="O94" s="6" t="s">
        <v>19</v>
      </c>
      <c r="P94" s="178">
        <v>1.1364810000000001</v>
      </c>
      <c r="T94" s="6" t="s">
        <v>185</v>
      </c>
      <c r="U94" s="6" t="s">
        <v>19</v>
      </c>
      <c r="V94" s="178">
        <v>1.1105130000000001</v>
      </c>
    </row>
    <row r="95" spans="2:22" x14ac:dyDescent="0.25">
      <c r="B95" s="6" t="s">
        <v>186</v>
      </c>
      <c r="C95" s="6" t="s">
        <v>19</v>
      </c>
      <c r="D95" s="178">
        <f t="shared" si="5"/>
        <v>0.4672</v>
      </c>
      <c r="H95" s="6" t="s">
        <v>186</v>
      </c>
      <c r="I95" s="6" t="s">
        <v>19</v>
      </c>
      <c r="J95" s="178">
        <v>0.461312</v>
      </c>
      <c r="N95" s="6" t="s">
        <v>186</v>
      </c>
      <c r="O95" s="6" t="s">
        <v>19</v>
      </c>
      <c r="P95" s="178">
        <v>0.42529800000000001</v>
      </c>
      <c r="T95" s="6" t="s">
        <v>186</v>
      </c>
      <c r="U95" s="6" t="s">
        <v>19</v>
      </c>
      <c r="V95" s="178">
        <v>0.378828</v>
      </c>
    </row>
    <row r="96" spans="2:22" x14ac:dyDescent="0.25">
      <c r="B96" s="6" t="s">
        <v>187</v>
      </c>
      <c r="C96" s="6" t="s">
        <v>19</v>
      </c>
      <c r="D96" s="178">
        <f t="shared" si="5"/>
        <v>0.81240699999999999</v>
      </c>
      <c r="H96" s="6" t="s">
        <v>187</v>
      </c>
      <c r="I96" s="6" t="s">
        <v>19</v>
      </c>
      <c r="J96" s="178">
        <v>0.88889799999999997</v>
      </c>
      <c r="N96" s="6" t="s">
        <v>187</v>
      </c>
      <c r="O96" s="6" t="s">
        <v>19</v>
      </c>
      <c r="P96" s="178">
        <v>0.77200800000000003</v>
      </c>
      <c r="T96" s="6" t="s">
        <v>187</v>
      </c>
      <c r="U96" s="6" t="s">
        <v>19</v>
      </c>
      <c r="V96" s="178">
        <v>0.68276499999999996</v>
      </c>
    </row>
    <row r="97" spans="2:23" x14ac:dyDescent="0.25">
      <c r="B97" s="6" t="s">
        <v>188</v>
      </c>
      <c r="C97" s="6" t="s">
        <v>19</v>
      </c>
      <c r="D97" s="178">
        <f t="shared" si="5"/>
        <v>0.598831</v>
      </c>
      <c r="H97" s="6" t="s">
        <v>188</v>
      </c>
      <c r="I97" s="6" t="s">
        <v>19</v>
      </c>
      <c r="J97" s="178">
        <v>0.64669399999999999</v>
      </c>
      <c r="N97" s="6" t="s">
        <v>188</v>
      </c>
      <c r="O97" s="6" t="s">
        <v>19</v>
      </c>
      <c r="P97" s="178">
        <v>0.57704</v>
      </c>
      <c r="T97" s="6" t="s">
        <v>188</v>
      </c>
      <c r="U97" s="6" t="s">
        <v>19</v>
      </c>
      <c r="V97" s="178">
        <v>0.47289399999999998</v>
      </c>
    </row>
    <row r="98" spans="2:23" x14ac:dyDescent="0.25">
      <c r="B98" s="6" t="s">
        <v>189</v>
      </c>
      <c r="C98" s="6" t="s">
        <v>19</v>
      </c>
      <c r="D98" s="178">
        <f t="shared" si="5"/>
        <v>1.411238</v>
      </c>
      <c r="H98" s="6" t="s">
        <v>189</v>
      </c>
      <c r="I98" s="6" t="s">
        <v>19</v>
      </c>
      <c r="J98" s="178">
        <v>1.5355920000000001</v>
      </c>
      <c r="N98" s="6" t="s">
        <v>189</v>
      </c>
      <c r="O98" s="6" t="s">
        <v>19</v>
      </c>
      <c r="P98" s="178">
        <v>1.349048</v>
      </c>
      <c r="T98" s="6" t="s">
        <v>189</v>
      </c>
      <c r="U98" s="6" t="s">
        <v>19</v>
      </c>
      <c r="V98" s="178">
        <v>1.1556599999999999</v>
      </c>
    </row>
    <row r="99" spans="2:23" x14ac:dyDescent="0.25">
      <c r="B99" s="6" t="s">
        <v>82</v>
      </c>
      <c r="C99" s="6" t="s">
        <v>83</v>
      </c>
      <c r="D99" s="184">
        <f t="shared" si="5"/>
        <v>100</v>
      </c>
      <c r="E99" s="184"/>
      <c r="H99" s="6" t="s">
        <v>82</v>
      </c>
      <c r="I99" s="6" t="s">
        <v>83</v>
      </c>
      <c r="J99" s="184">
        <v>100</v>
      </c>
      <c r="K99" s="184"/>
      <c r="N99" s="6" t="s">
        <v>82</v>
      </c>
      <c r="O99" s="6" t="s">
        <v>83</v>
      </c>
      <c r="P99" s="184">
        <v>100</v>
      </c>
      <c r="Q99" s="184"/>
      <c r="T99" s="6" t="s">
        <v>82</v>
      </c>
      <c r="U99" s="6" t="s">
        <v>83</v>
      </c>
      <c r="V99" s="184">
        <v>100</v>
      </c>
      <c r="W99" s="184"/>
    </row>
    <row r="100" spans="2:23" x14ac:dyDescent="0.25">
      <c r="B100" s="6" t="s">
        <v>84</v>
      </c>
      <c r="C100" s="6" t="s">
        <v>83</v>
      </c>
      <c r="D100" s="184">
        <f t="shared" si="5"/>
        <v>115.8</v>
      </c>
      <c r="E100" s="184"/>
      <c r="H100" s="6" t="s">
        <v>84</v>
      </c>
      <c r="I100" s="6" t="s">
        <v>83</v>
      </c>
      <c r="J100" s="184">
        <v>115.8</v>
      </c>
      <c r="K100" s="184"/>
      <c r="N100" s="6" t="s">
        <v>84</v>
      </c>
      <c r="O100" s="6" t="s">
        <v>83</v>
      </c>
      <c r="P100" s="184">
        <v>115.8</v>
      </c>
      <c r="Q100" s="184"/>
      <c r="T100" s="6" t="s">
        <v>84</v>
      </c>
      <c r="U100" s="6" t="s">
        <v>83</v>
      </c>
      <c r="V100" s="184">
        <v>115.8</v>
      </c>
      <c r="W100" s="184"/>
    </row>
    <row r="101" spans="2:23" x14ac:dyDescent="0.25">
      <c r="B101" s="6" t="s">
        <v>85</v>
      </c>
      <c r="C101" s="6" t="s">
        <v>83</v>
      </c>
      <c r="D101" s="184">
        <f t="shared" si="5"/>
        <v>100</v>
      </c>
      <c r="E101" s="184"/>
      <c r="H101" s="6" t="s">
        <v>85</v>
      </c>
      <c r="I101" s="6" t="s">
        <v>83</v>
      </c>
      <c r="J101" s="184">
        <v>100</v>
      </c>
      <c r="K101" s="184"/>
      <c r="N101" s="6" t="s">
        <v>85</v>
      </c>
      <c r="O101" s="6" t="s">
        <v>83</v>
      </c>
      <c r="P101" s="184">
        <v>100</v>
      </c>
      <c r="Q101" s="184"/>
      <c r="T101" s="6" t="s">
        <v>85</v>
      </c>
      <c r="U101" s="6" t="s">
        <v>83</v>
      </c>
      <c r="V101" s="184">
        <v>100</v>
      </c>
      <c r="W101" s="184"/>
    </row>
    <row r="102" spans="2:23" x14ac:dyDescent="0.25">
      <c r="B102" s="6" t="s">
        <v>86</v>
      </c>
      <c r="C102" s="6" t="s">
        <v>83</v>
      </c>
      <c r="D102" s="184">
        <f t="shared" si="5"/>
        <v>40</v>
      </c>
      <c r="E102" s="184"/>
      <c r="H102" s="6" t="s">
        <v>86</v>
      </c>
      <c r="I102" s="6" t="s">
        <v>83</v>
      </c>
      <c r="J102" s="184">
        <v>40</v>
      </c>
      <c r="K102" s="184"/>
      <c r="N102" s="6" t="s">
        <v>86</v>
      </c>
      <c r="O102" s="6" t="s">
        <v>83</v>
      </c>
      <c r="P102" s="184">
        <v>40</v>
      </c>
      <c r="Q102" s="184"/>
      <c r="T102" s="6" t="s">
        <v>86</v>
      </c>
      <c r="U102" s="6" t="s">
        <v>83</v>
      </c>
      <c r="V102" s="184">
        <v>40</v>
      </c>
      <c r="W102" s="184"/>
    </row>
    <row r="103" spans="2:23" x14ac:dyDescent="0.25">
      <c r="B103" s="15" t="s">
        <v>87</v>
      </c>
      <c r="C103" s="15" t="s">
        <v>83</v>
      </c>
      <c r="D103" s="179">
        <f t="shared" si="5"/>
        <v>0.3</v>
      </c>
      <c r="H103" s="15" t="s">
        <v>87</v>
      </c>
      <c r="I103" s="15" t="s">
        <v>83</v>
      </c>
      <c r="J103" s="179">
        <v>0.3</v>
      </c>
      <c r="N103" s="15" t="s">
        <v>87</v>
      </c>
      <c r="O103" s="15" t="s">
        <v>83</v>
      </c>
      <c r="P103" s="179">
        <v>0.3</v>
      </c>
      <c r="T103" s="15" t="s">
        <v>87</v>
      </c>
      <c r="U103" s="15" t="s">
        <v>83</v>
      </c>
      <c r="V103" s="179">
        <v>0.3</v>
      </c>
    </row>
    <row r="104" spans="2:23" x14ac:dyDescent="0.25">
      <c r="B104" s="6" t="s">
        <v>88</v>
      </c>
      <c r="C104" s="6" t="s">
        <v>83</v>
      </c>
      <c r="D104" s="184">
        <f t="shared" si="5"/>
        <v>1</v>
      </c>
      <c r="E104" s="184"/>
      <c r="H104" s="6" t="s">
        <v>88</v>
      </c>
      <c r="I104" s="6" t="s">
        <v>83</v>
      </c>
      <c r="J104" s="184">
        <v>1</v>
      </c>
      <c r="K104" s="184"/>
      <c r="N104" s="6" t="s">
        <v>88</v>
      </c>
      <c r="O104" s="6" t="s">
        <v>83</v>
      </c>
      <c r="P104" s="184">
        <v>1</v>
      </c>
      <c r="Q104" s="184"/>
      <c r="T104" s="6" t="s">
        <v>88</v>
      </c>
      <c r="U104" s="6" t="s">
        <v>83</v>
      </c>
      <c r="V104" s="184">
        <v>1</v>
      </c>
      <c r="W104" s="184"/>
    </row>
    <row r="105" spans="2:23" hidden="1" x14ac:dyDescent="0.25">
      <c r="B105" s="6" t="s">
        <v>89</v>
      </c>
      <c r="C105" s="6" t="s">
        <v>90</v>
      </c>
      <c r="D105" s="185">
        <f t="shared" si="5"/>
        <v>8000</v>
      </c>
      <c r="E105" s="185"/>
      <c r="H105" s="6" t="s">
        <v>89</v>
      </c>
      <c r="I105" s="6" t="s">
        <v>90</v>
      </c>
      <c r="J105" s="185">
        <v>8000</v>
      </c>
      <c r="K105" s="185"/>
      <c r="N105" s="6" t="s">
        <v>89</v>
      </c>
      <c r="O105" s="6" t="s">
        <v>90</v>
      </c>
      <c r="P105" s="185">
        <v>8000</v>
      </c>
      <c r="Q105" s="185"/>
      <c r="T105" s="6" t="s">
        <v>89</v>
      </c>
      <c r="U105" s="6" t="s">
        <v>90</v>
      </c>
      <c r="V105" s="185">
        <v>8000</v>
      </c>
      <c r="W105" s="185"/>
    </row>
    <row r="106" spans="2:23" hidden="1" x14ac:dyDescent="0.25">
      <c r="B106" s="6" t="s">
        <v>91</v>
      </c>
      <c r="C106" s="6" t="s">
        <v>90</v>
      </c>
      <c r="D106" s="185">
        <f t="shared" si="5"/>
        <v>1500</v>
      </c>
      <c r="E106" s="185"/>
      <c r="H106" s="6" t="s">
        <v>91</v>
      </c>
      <c r="I106" s="6" t="s">
        <v>90</v>
      </c>
      <c r="J106" s="185">
        <v>1500</v>
      </c>
      <c r="K106" s="185"/>
      <c r="N106" s="6" t="s">
        <v>91</v>
      </c>
      <c r="O106" s="6" t="s">
        <v>90</v>
      </c>
      <c r="P106" s="185">
        <v>1500</v>
      </c>
      <c r="Q106" s="185"/>
      <c r="T106" s="6" t="s">
        <v>91</v>
      </c>
      <c r="U106" s="6" t="s">
        <v>90</v>
      </c>
      <c r="V106" s="185">
        <v>1500</v>
      </c>
      <c r="W106" s="185"/>
    </row>
    <row r="107" spans="2:23" hidden="1" x14ac:dyDescent="0.25">
      <c r="B107" s="6" t="s">
        <v>92</v>
      </c>
      <c r="C107" s="6" t="s">
        <v>90</v>
      </c>
      <c r="D107" s="185">
        <f t="shared" si="5"/>
        <v>30</v>
      </c>
      <c r="E107" s="185"/>
      <c r="H107" s="6" t="s">
        <v>92</v>
      </c>
      <c r="I107" s="6" t="s">
        <v>90</v>
      </c>
      <c r="J107" s="185">
        <v>30</v>
      </c>
      <c r="K107" s="185"/>
      <c r="N107" s="6" t="s">
        <v>92</v>
      </c>
      <c r="O107" s="6" t="s">
        <v>90</v>
      </c>
      <c r="P107" s="185">
        <v>30</v>
      </c>
      <c r="Q107" s="185"/>
      <c r="T107" s="6" t="s">
        <v>92</v>
      </c>
      <c r="U107" s="6" t="s">
        <v>90</v>
      </c>
      <c r="V107" s="185">
        <v>30</v>
      </c>
      <c r="W107" s="185"/>
    </row>
    <row r="108" spans="2:23" hidden="1" x14ac:dyDescent="0.25">
      <c r="B108" s="6" t="s">
        <v>93</v>
      </c>
      <c r="C108" s="6" t="s">
        <v>83</v>
      </c>
      <c r="D108" s="184">
        <f t="shared" si="5"/>
        <v>2</v>
      </c>
      <c r="E108" s="184"/>
      <c r="H108" s="6" t="s">
        <v>93</v>
      </c>
      <c r="I108" s="6" t="s">
        <v>83</v>
      </c>
      <c r="J108" s="184">
        <v>2</v>
      </c>
      <c r="K108" s="184"/>
      <c r="N108" s="6" t="s">
        <v>93</v>
      </c>
      <c r="O108" s="6" t="s">
        <v>83</v>
      </c>
      <c r="P108" s="184">
        <v>2</v>
      </c>
      <c r="Q108" s="184"/>
      <c r="T108" s="6" t="s">
        <v>93</v>
      </c>
      <c r="U108" s="6" t="s">
        <v>83</v>
      </c>
      <c r="V108" s="184">
        <v>2</v>
      </c>
      <c r="W108" s="184"/>
    </row>
    <row r="109" spans="2:23" hidden="1" x14ac:dyDescent="0.25">
      <c r="B109" s="6" t="s">
        <v>94</v>
      </c>
      <c r="C109" s="6" t="s">
        <v>83</v>
      </c>
      <c r="D109" s="178">
        <f t="shared" si="5"/>
        <v>1</v>
      </c>
      <c r="H109" s="6" t="s">
        <v>94</v>
      </c>
      <c r="I109" s="6" t="s">
        <v>83</v>
      </c>
      <c r="J109" s="178">
        <v>1</v>
      </c>
      <c r="N109" s="6" t="s">
        <v>94</v>
      </c>
      <c r="O109" s="6" t="s">
        <v>83</v>
      </c>
      <c r="P109" s="178">
        <v>1</v>
      </c>
      <c r="T109" s="6" t="s">
        <v>94</v>
      </c>
      <c r="U109" s="6" t="s">
        <v>83</v>
      </c>
      <c r="V109" s="178">
        <v>1</v>
      </c>
    </row>
    <row r="110" spans="2:23" hidden="1" x14ac:dyDescent="0.25">
      <c r="B110" s="6" t="s">
        <v>95</v>
      </c>
      <c r="C110" s="6" t="s">
        <v>83</v>
      </c>
      <c r="D110" s="178">
        <f t="shared" si="5"/>
        <v>4</v>
      </c>
      <c r="H110" s="6" t="s">
        <v>95</v>
      </c>
      <c r="I110" s="6" t="s">
        <v>83</v>
      </c>
      <c r="J110" s="178">
        <v>4</v>
      </c>
      <c r="N110" s="6" t="s">
        <v>95</v>
      </c>
      <c r="O110" s="6" t="s">
        <v>83</v>
      </c>
      <c r="P110" s="178">
        <v>4</v>
      </c>
      <c r="T110" s="6" t="s">
        <v>95</v>
      </c>
      <c r="U110" s="6" t="s">
        <v>83</v>
      </c>
      <c r="V110" s="178">
        <v>4</v>
      </c>
    </row>
    <row r="111" spans="2:23" hidden="1" x14ac:dyDescent="0.25">
      <c r="B111" s="6" t="s">
        <v>96</v>
      </c>
      <c r="C111" s="6" t="s">
        <v>83</v>
      </c>
      <c r="D111" s="178">
        <f t="shared" si="5"/>
        <v>20</v>
      </c>
      <c r="H111" s="6" t="s">
        <v>96</v>
      </c>
      <c r="I111" s="6" t="s">
        <v>83</v>
      </c>
      <c r="J111" s="178">
        <v>20</v>
      </c>
      <c r="N111" s="6" t="s">
        <v>96</v>
      </c>
      <c r="O111" s="6" t="s">
        <v>83</v>
      </c>
      <c r="P111" s="178">
        <v>20</v>
      </c>
      <c r="T111" s="6" t="s">
        <v>96</v>
      </c>
      <c r="U111" s="6" t="s">
        <v>83</v>
      </c>
      <c r="V111" s="178">
        <v>20</v>
      </c>
    </row>
    <row r="112" spans="2:23" hidden="1" x14ac:dyDescent="0.25">
      <c r="B112" s="6" t="s">
        <v>97</v>
      </c>
      <c r="C112" s="6" t="s">
        <v>83</v>
      </c>
      <c r="D112" s="178">
        <f t="shared" si="5"/>
        <v>0</v>
      </c>
      <c r="H112" s="6" t="s">
        <v>97</v>
      </c>
      <c r="I112" s="6" t="s">
        <v>83</v>
      </c>
      <c r="J112" s="178">
        <v>0</v>
      </c>
      <c r="N112" s="6" t="s">
        <v>97</v>
      </c>
      <c r="O112" s="6" t="s">
        <v>83</v>
      </c>
      <c r="P112" s="178">
        <v>0</v>
      </c>
      <c r="T112" s="6" t="s">
        <v>97</v>
      </c>
      <c r="U112" s="6" t="s">
        <v>83</v>
      </c>
      <c r="V112" s="178">
        <v>0</v>
      </c>
    </row>
    <row r="113" spans="2:23" hidden="1" x14ac:dyDescent="0.25">
      <c r="B113" s="6" t="s">
        <v>98</v>
      </c>
      <c r="C113" s="6" t="s">
        <v>83</v>
      </c>
      <c r="D113" s="178">
        <f t="shared" si="5"/>
        <v>12</v>
      </c>
      <c r="H113" s="6" t="s">
        <v>98</v>
      </c>
      <c r="I113" s="6" t="s">
        <v>83</v>
      </c>
      <c r="J113" s="178">
        <v>12</v>
      </c>
      <c r="N113" s="6" t="s">
        <v>98</v>
      </c>
      <c r="O113" s="6" t="s">
        <v>83</v>
      </c>
      <c r="P113" s="178">
        <v>12</v>
      </c>
      <c r="T113" s="6" t="s">
        <v>98</v>
      </c>
      <c r="U113" s="6" t="s">
        <v>83</v>
      </c>
      <c r="V113" s="178">
        <v>12</v>
      </c>
    </row>
    <row r="114" spans="2:23" hidden="1" x14ac:dyDescent="0.25">
      <c r="B114" s="6" t="s">
        <v>99</v>
      </c>
      <c r="C114" s="6" t="s">
        <v>83</v>
      </c>
      <c r="D114" s="178">
        <f t="shared" si="5"/>
        <v>2</v>
      </c>
      <c r="H114" s="6" t="s">
        <v>99</v>
      </c>
      <c r="I114" s="6" t="s">
        <v>83</v>
      </c>
      <c r="J114" s="178">
        <v>2</v>
      </c>
      <c r="N114" s="6" t="s">
        <v>99</v>
      </c>
      <c r="O114" s="6" t="s">
        <v>83</v>
      </c>
      <c r="P114" s="178">
        <v>2</v>
      </c>
      <c r="T114" s="6" t="s">
        <v>99</v>
      </c>
      <c r="U114" s="6" t="s">
        <v>83</v>
      </c>
      <c r="V114" s="178">
        <v>2</v>
      </c>
    </row>
    <row r="115" spans="2:23" s="30" customFormat="1" hidden="1" x14ac:dyDescent="0.25">
      <c r="B115" s="6" t="s">
        <v>100</v>
      </c>
      <c r="C115" s="6" t="s">
        <v>83</v>
      </c>
      <c r="D115" s="178">
        <f t="shared" si="5"/>
        <v>0.1</v>
      </c>
      <c r="E115" s="178"/>
      <c r="H115" s="6" t="s">
        <v>100</v>
      </c>
      <c r="I115" s="6" t="s">
        <v>83</v>
      </c>
      <c r="J115" s="178">
        <v>0.1</v>
      </c>
      <c r="K115" s="178"/>
      <c r="N115" s="6" t="s">
        <v>100</v>
      </c>
      <c r="O115" s="6" t="s">
        <v>83</v>
      </c>
      <c r="P115" s="178">
        <v>0.1</v>
      </c>
      <c r="Q115" s="178"/>
      <c r="T115" s="6" t="s">
        <v>100</v>
      </c>
      <c r="U115" s="6" t="s">
        <v>83</v>
      </c>
      <c r="V115" s="178">
        <v>0.1</v>
      </c>
      <c r="W115" s="178"/>
    </row>
    <row r="116" spans="2:23" s="30" customFormat="1" hidden="1" x14ac:dyDescent="0.25">
      <c r="B116" s="6" t="s">
        <v>101</v>
      </c>
      <c r="C116" s="6" t="s">
        <v>83</v>
      </c>
      <c r="D116" s="178">
        <f t="shared" si="5"/>
        <v>0.5</v>
      </c>
      <c r="E116" s="178"/>
      <c r="H116" s="6" t="s">
        <v>101</v>
      </c>
      <c r="I116" s="6" t="s">
        <v>83</v>
      </c>
      <c r="J116" s="178">
        <v>0.5</v>
      </c>
      <c r="K116" s="178"/>
      <c r="N116" s="6" t="s">
        <v>101</v>
      </c>
      <c r="O116" s="6" t="s">
        <v>83</v>
      </c>
      <c r="P116" s="178">
        <v>0.5</v>
      </c>
      <c r="Q116" s="178"/>
      <c r="T116" s="6" t="s">
        <v>101</v>
      </c>
      <c r="U116" s="6" t="s">
        <v>83</v>
      </c>
      <c r="V116" s="178">
        <v>0.5</v>
      </c>
      <c r="W116" s="178"/>
    </row>
    <row r="117" spans="2:23" s="30" customFormat="1" hidden="1" x14ac:dyDescent="0.25">
      <c r="B117" s="6" t="s">
        <v>102</v>
      </c>
      <c r="C117" s="6" t="s">
        <v>83</v>
      </c>
      <c r="D117" s="178">
        <f t="shared" si="5"/>
        <v>0.02</v>
      </c>
      <c r="E117" s="178"/>
      <c r="H117" s="6" t="s">
        <v>102</v>
      </c>
      <c r="I117" s="6" t="s">
        <v>83</v>
      </c>
      <c r="J117" s="178">
        <v>0.02</v>
      </c>
      <c r="K117" s="178"/>
      <c r="N117" s="6" t="s">
        <v>102</v>
      </c>
      <c r="O117" s="6" t="s">
        <v>83</v>
      </c>
      <c r="P117" s="178">
        <v>0.02</v>
      </c>
      <c r="Q117" s="178"/>
      <c r="T117" s="6" t="s">
        <v>102</v>
      </c>
      <c r="U117" s="6" t="s">
        <v>83</v>
      </c>
      <c r="V117" s="178">
        <v>0.02</v>
      </c>
      <c r="W117" s="178"/>
    </row>
    <row r="118" spans="2:23" s="30" customFormat="1" hidden="1" x14ac:dyDescent="0.25">
      <c r="B118" s="6" t="s">
        <v>103</v>
      </c>
      <c r="C118" s="6" t="s">
        <v>104</v>
      </c>
      <c r="D118" s="178">
        <f t="shared" si="5"/>
        <v>50.74194</v>
      </c>
      <c r="E118" s="178"/>
      <c r="H118" s="6" t="s">
        <v>103</v>
      </c>
      <c r="I118" s="6" t="s">
        <v>104</v>
      </c>
      <c r="J118" s="178">
        <v>36.914273000000001</v>
      </c>
      <c r="K118" s="178"/>
      <c r="N118" s="6" t="s">
        <v>103</v>
      </c>
      <c r="O118" s="6" t="s">
        <v>104</v>
      </c>
      <c r="P118" s="178">
        <v>33.870148</v>
      </c>
      <c r="Q118" s="178"/>
      <c r="T118" s="6" t="s">
        <v>103</v>
      </c>
      <c r="U118" s="6" t="s">
        <v>104</v>
      </c>
      <c r="V118" s="178">
        <v>22.720514999999999</v>
      </c>
      <c r="W118" s="178"/>
    </row>
    <row r="119" spans="2:23" s="30" customFormat="1" hidden="1" x14ac:dyDescent="0.25">
      <c r="B119" s="6" t="s">
        <v>105</v>
      </c>
      <c r="C119" s="6" t="s">
        <v>106</v>
      </c>
      <c r="D119" s="178">
        <f t="shared" si="5"/>
        <v>553.8125</v>
      </c>
      <c r="E119" s="178"/>
      <c r="H119" s="6" t="s">
        <v>105</v>
      </c>
      <c r="I119" s="6" t="s">
        <v>106</v>
      </c>
      <c r="J119" s="178">
        <v>521.76250000000005</v>
      </c>
      <c r="K119" s="178"/>
      <c r="N119" s="6" t="s">
        <v>105</v>
      </c>
      <c r="O119" s="6" t="s">
        <v>106</v>
      </c>
      <c r="P119" s="178">
        <v>566.86300000000006</v>
      </c>
      <c r="Q119" s="178"/>
      <c r="T119" s="6" t="s">
        <v>105</v>
      </c>
      <c r="U119" s="6" t="s">
        <v>106</v>
      </c>
      <c r="V119" s="178">
        <v>578.85870799999998</v>
      </c>
      <c r="W119" s="178"/>
    </row>
    <row r="120" spans="2:23" s="30" customFormat="1" hidden="1" x14ac:dyDescent="0.25">
      <c r="B120" s="6" t="s">
        <v>107</v>
      </c>
      <c r="C120" s="6"/>
      <c r="D120" s="178">
        <f t="shared" si="5"/>
        <v>4.4486999999999997</v>
      </c>
      <c r="E120" s="178"/>
      <c r="H120" s="6" t="s">
        <v>107</v>
      </c>
      <c r="I120" s="6"/>
      <c r="J120" s="178">
        <v>6.0363499999999997</v>
      </c>
      <c r="K120" s="178"/>
      <c r="N120" s="6" t="s">
        <v>107</v>
      </c>
      <c r="O120" s="6"/>
      <c r="P120" s="178">
        <v>6.18635</v>
      </c>
      <c r="Q120" s="178"/>
      <c r="T120" s="6" t="s">
        <v>107</v>
      </c>
      <c r="U120" s="6"/>
      <c r="V120" s="178">
        <v>6.9643629999999996</v>
      </c>
      <c r="W120" s="178"/>
    </row>
    <row r="121" spans="2:23" s="30" customFormat="1" hidden="1" x14ac:dyDescent="0.25">
      <c r="B121" s="6" t="s">
        <v>203</v>
      </c>
      <c r="C121" s="6" t="s">
        <v>83</v>
      </c>
      <c r="D121" s="178">
        <f t="shared" si="5"/>
        <v>0</v>
      </c>
      <c r="E121" s="178"/>
      <c r="H121" s="6" t="s">
        <v>203</v>
      </c>
      <c r="I121" s="6" t="s">
        <v>83</v>
      </c>
      <c r="J121" s="178">
        <v>0</v>
      </c>
      <c r="K121" s="178"/>
      <c r="N121" s="6" t="s">
        <v>203</v>
      </c>
      <c r="O121" s="6" t="s">
        <v>83</v>
      </c>
      <c r="P121" s="178">
        <v>0</v>
      </c>
      <c r="Q121" s="178"/>
      <c r="T121" s="6" t="s">
        <v>203</v>
      </c>
      <c r="U121" s="6" t="s">
        <v>83</v>
      </c>
      <c r="V121" s="178">
        <v>0</v>
      </c>
      <c r="W121" s="178"/>
    </row>
    <row r="122" spans="2:23" hidden="1" x14ac:dyDescent="0.25">
      <c r="B122" s="6" t="s">
        <v>204</v>
      </c>
      <c r="C122" s="6" t="s">
        <v>83</v>
      </c>
      <c r="D122" s="178">
        <f t="shared" si="5"/>
        <v>0</v>
      </c>
      <c r="H122" s="6" t="s">
        <v>204</v>
      </c>
      <c r="I122" s="6" t="s">
        <v>83</v>
      </c>
      <c r="J122" s="178">
        <v>0</v>
      </c>
      <c r="N122" s="6" t="s">
        <v>204</v>
      </c>
      <c r="O122" s="6" t="s">
        <v>83</v>
      </c>
      <c r="P122" s="178">
        <v>0</v>
      </c>
      <c r="T122" s="6" t="s">
        <v>204</v>
      </c>
      <c r="U122" s="6" t="s">
        <v>83</v>
      </c>
      <c r="V122" s="178">
        <v>0</v>
      </c>
    </row>
    <row r="123" spans="2:23" hidden="1" x14ac:dyDescent="0.25">
      <c r="B123" s="6" t="s">
        <v>205</v>
      </c>
      <c r="C123" s="6" t="s">
        <v>83</v>
      </c>
      <c r="D123" s="178">
        <f t="shared" ref="D123:D147" si="6">IFERROR(VLOOKUP(B123,raw_2,7,FALSE),0)</f>
        <v>0</v>
      </c>
      <c r="H123" s="6" t="s">
        <v>205</v>
      </c>
      <c r="I123" s="6" t="s">
        <v>83</v>
      </c>
      <c r="J123" s="178">
        <v>0</v>
      </c>
      <c r="N123" s="6" t="s">
        <v>205</v>
      </c>
      <c r="O123" s="6" t="s">
        <v>83</v>
      </c>
      <c r="P123" s="178">
        <v>0</v>
      </c>
      <c r="T123" s="6" t="s">
        <v>205</v>
      </c>
      <c r="U123" s="6" t="s">
        <v>83</v>
      </c>
      <c r="V123" s="178">
        <v>0</v>
      </c>
    </row>
    <row r="124" spans="2:23" hidden="1" x14ac:dyDescent="0.25">
      <c r="B124" s="6" t="s">
        <v>191</v>
      </c>
      <c r="C124" s="6" t="s">
        <v>83</v>
      </c>
      <c r="D124" s="178">
        <f t="shared" si="6"/>
        <v>0</v>
      </c>
      <c r="H124" s="6" t="s">
        <v>191</v>
      </c>
      <c r="I124" s="6" t="s">
        <v>83</v>
      </c>
      <c r="J124" s="178">
        <v>0</v>
      </c>
      <c r="N124" s="6" t="s">
        <v>191</v>
      </c>
      <c r="O124" s="6" t="s">
        <v>83</v>
      </c>
      <c r="P124" s="178">
        <v>0</v>
      </c>
      <c r="T124" s="6" t="s">
        <v>191</v>
      </c>
      <c r="U124" s="6" t="s">
        <v>83</v>
      </c>
      <c r="V124" s="178">
        <v>0</v>
      </c>
    </row>
    <row r="125" spans="2:23" hidden="1" x14ac:dyDescent="0.25">
      <c r="B125" s="6" t="s">
        <v>192</v>
      </c>
      <c r="C125" s="6" t="s">
        <v>83</v>
      </c>
      <c r="D125" s="178">
        <f t="shared" si="6"/>
        <v>0</v>
      </c>
      <c r="H125" s="6" t="s">
        <v>192</v>
      </c>
      <c r="I125" s="6" t="s">
        <v>83</v>
      </c>
      <c r="J125" s="178">
        <v>0</v>
      </c>
      <c r="N125" s="6" t="s">
        <v>192</v>
      </c>
      <c r="O125" s="6" t="s">
        <v>83</v>
      </c>
      <c r="P125" s="178">
        <v>0</v>
      </c>
      <c r="T125" s="6" t="s">
        <v>192</v>
      </c>
      <c r="U125" s="6" t="s">
        <v>83</v>
      </c>
      <c r="V125" s="178">
        <v>0</v>
      </c>
    </row>
    <row r="126" spans="2:23" hidden="1" x14ac:dyDescent="0.25">
      <c r="B126" s="6" t="s">
        <v>193</v>
      </c>
      <c r="C126" s="6" t="s">
        <v>83</v>
      </c>
      <c r="D126" s="178">
        <f t="shared" si="6"/>
        <v>0</v>
      </c>
      <c r="H126" s="6" t="s">
        <v>193</v>
      </c>
      <c r="I126" s="6" t="s">
        <v>83</v>
      </c>
      <c r="J126" s="178">
        <v>0</v>
      </c>
      <c r="N126" s="6" t="s">
        <v>193</v>
      </c>
      <c r="O126" s="6" t="s">
        <v>83</v>
      </c>
      <c r="P126" s="178">
        <v>0</v>
      </c>
      <c r="T126" s="6" t="s">
        <v>193</v>
      </c>
      <c r="U126" s="6" t="s">
        <v>83</v>
      </c>
      <c r="V126" s="178">
        <v>0</v>
      </c>
    </row>
    <row r="127" spans="2:23" hidden="1" x14ac:dyDescent="0.25">
      <c r="B127" s="6" t="s">
        <v>194</v>
      </c>
      <c r="C127" s="6" t="s">
        <v>83</v>
      </c>
      <c r="D127" s="178">
        <f t="shared" si="6"/>
        <v>0</v>
      </c>
      <c r="H127" s="6" t="s">
        <v>194</v>
      </c>
      <c r="I127" s="6" t="s">
        <v>83</v>
      </c>
      <c r="J127" s="178">
        <v>0</v>
      </c>
      <c r="N127" s="6" t="s">
        <v>194</v>
      </c>
      <c r="O127" s="6" t="s">
        <v>83</v>
      </c>
      <c r="P127" s="178">
        <v>0</v>
      </c>
      <c r="T127" s="6" t="s">
        <v>194</v>
      </c>
      <c r="U127" s="6" t="s">
        <v>83</v>
      </c>
      <c r="V127" s="178">
        <v>0</v>
      </c>
    </row>
    <row r="128" spans="2:23" hidden="1" x14ac:dyDescent="0.25">
      <c r="B128" s="6" t="s">
        <v>195</v>
      </c>
      <c r="C128" s="6" t="s">
        <v>83</v>
      </c>
      <c r="D128" s="178">
        <f t="shared" si="6"/>
        <v>0</v>
      </c>
      <c r="H128" s="6" t="s">
        <v>195</v>
      </c>
      <c r="I128" s="6" t="s">
        <v>83</v>
      </c>
      <c r="J128" s="178">
        <v>0</v>
      </c>
      <c r="N128" s="6" t="s">
        <v>195</v>
      </c>
      <c r="O128" s="6" t="s">
        <v>83</v>
      </c>
      <c r="P128" s="178">
        <v>0</v>
      </c>
      <c r="T128" s="6" t="s">
        <v>195</v>
      </c>
      <c r="U128" s="6" t="s">
        <v>83</v>
      </c>
      <c r="V128" s="178">
        <v>0</v>
      </c>
    </row>
    <row r="129" spans="2:22" hidden="1" x14ac:dyDescent="0.25">
      <c r="B129" s="6" t="s">
        <v>196</v>
      </c>
      <c r="C129" s="6" t="s">
        <v>83</v>
      </c>
      <c r="D129" s="178">
        <f t="shared" si="6"/>
        <v>0</v>
      </c>
      <c r="H129" s="6" t="s">
        <v>196</v>
      </c>
      <c r="I129" s="6" t="s">
        <v>83</v>
      </c>
      <c r="J129" s="178">
        <v>0</v>
      </c>
      <c r="N129" s="6" t="s">
        <v>196</v>
      </c>
      <c r="O129" s="6" t="s">
        <v>83</v>
      </c>
      <c r="P129" s="178">
        <v>0</v>
      </c>
      <c r="T129" s="6" t="s">
        <v>196</v>
      </c>
      <c r="U129" s="6" t="s">
        <v>83</v>
      </c>
      <c r="V129" s="178">
        <v>0</v>
      </c>
    </row>
    <row r="130" spans="2:22" hidden="1" x14ac:dyDescent="0.25">
      <c r="B130" s="6" t="s">
        <v>197</v>
      </c>
      <c r="C130" s="6" t="s">
        <v>83</v>
      </c>
      <c r="D130" s="178">
        <f t="shared" si="6"/>
        <v>0</v>
      </c>
      <c r="H130" s="6" t="s">
        <v>197</v>
      </c>
      <c r="I130" s="6" t="s">
        <v>83</v>
      </c>
      <c r="J130" s="178">
        <v>0</v>
      </c>
      <c r="N130" s="6" t="s">
        <v>197</v>
      </c>
      <c r="O130" s="6" t="s">
        <v>83</v>
      </c>
      <c r="P130" s="178">
        <v>0</v>
      </c>
      <c r="T130" s="6" t="s">
        <v>197</v>
      </c>
      <c r="U130" s="6" t="s">
        <v>83</v>
      </c>
      <c r="V130" s="178">
        <v>0</v>
      </c>
    </row>
    <row r="131" spans="2:22" hidden="1" x14ac:dyDescent="0.25">
      <c r="B131" s="6" t="s">
        <v>198</v>
      </c>
      <c r="C131" s="6" t="s">
        <v>83</v>
      </c>
      <c r="D131" s="178">
        <f t="shared" si="6"/>
        <v>0</v>
      </c>
      <c r="H131" s="6" t="s">
        <v>198</v>
      </c>
      <c r="I131" s="6" t="s">
        <v>83</v>
      </c>
      <c r="J131" s="178">
        <v>0</v>
      </c>
      <c r="N131" s="6" t="s">
        <v>198</v>
      </c>
      <c r="O131" s="6" t="s">
        <v>83</v>
      </c>
      <c r="P131" s="178">
        <v>0</v>
      </c>
      <c r="T131" s="6" t="s">
        <v>198</v>
      </c>
      <c r="U131" s="6" t="s">
        <v>83</v>
      </c>
      <c r="V131" s="178">
        <v>0</v>
      </c>
    </row>
    <row r="132" spans="2:22" hidden="1" x14ac:dyDescent="0.25">
      <c r="B132" s="6" t="s">
        <v>199</v>
      </c>
      <c r="C132" s="6" t="s">
        <v>83</v>
      </c>
      <c r="D132" s="178">
        <f t="shared" si="6"/>
        <v>0</v>
      </c>
      <c r="H132" s="6" t="s">
        <v>199</v>
      </c>
      <c r="I132" s="6" t="s">
        <v>83</v>
      </c>
      <c r="J132" s="178">
        <v>0</v>
      </c>
      <c r="N132" s="6" t="s">
        <v>199</v>
      </c>
      <c r="O132" s="6" t="s">
        <v>83</v>
      </c>
      <c r="P132" s="178">
        <v>0</v>
      </c>
      <c r="T132" s="6" t="s">
        <v>199</v>
      </c>
      <c r="U132" s="6" t="s">
        <v>83</v>
      </c>
      <c r="V132" s="178">
        <v>0</v>
      </c>
    </row>
    <row r="133" spans="2:22" hidden="1" x14ac:dyDescent="0.25">
      <c r="B133" s="6" t="s">
        <v>190</v>
      </c>
      <c r="C133" s="6" t="s">
        <v>206</v>
      </c>
      <c r="D133" s="178">
        <f t="shared" si="6"/>
        <v>0</v>
      </c>
      <c r="H133" s="6" t="s">
        <v>190</v>
      </c>
      <c r="I133" s="6" t="s">
        <v>206</v>
      </c>
      <c r="J133" s="178">
        <v>0</v>
      </c>
      <c r="N133" s="6" t="s">
        <v>190</v>
      </c>
      <c r="O133" s="6" t="s">
        <v>206</v>
      </c>
      <c r="P133" s="178">
        <v>0</v>
      </c>
      <c r="T133" s="6" t="s">
        <v>190</v>
      </c>
      <c r="U133" s="6" t="s">
        <v>206</v>
      </c>
      <c r="V133" s="178">
        <v>0</v>
      </c>
    </row>
    <row r="134" spans="2:22" hidden="1" x14ac:dyDescent="0.25">
      <c r="B134" s="6" t="s">
        <v>207</v>
      </c>
      <c r="C134" s="6" t="s">
        <v>208</v>
      </c>
      <c r="D134" s="178">
        <f t="shared" si="6"/>
        <v>0</v>
      </c>
      <c r="H134" s="6" t="s">
        <v>207</v>
      </c>
      <c r="I134" s="6" t="s">
        <v>208</v>
      </c>
      <c r="J134" s="178">
        <v>0</v>
      </c>
      <c r="N134" s="6" t="s">
        <v>207</v>
      </c>
      <c r="O134" s="6" t="s">
        <v>208</v>
      </c>
      <c r="P134" s="178">
        <v>0</v>
      </c>
      <c r="T134" s="6" t="s">
        <v>207</v>
      </c>
      <c r="U134" s="6" t="s">
        <v>208</v>
      </c>
      <c r="V134" s="178">
        <v>0</v>
      </c>
    </row>
    <row r="135" spans="2:22" hidden="1" x14ac:dyDescent="0.25">
      <c r="B135" s="6" t="s">
        <v>209</v>
      </c>
      <c r="C135" s="6" t="s">
        <v>210</v>
      </c>
      <c r="D135" s="178">
        <f t="shared" si="6"/>
        <v>0</v>
      </c>
      <c r="H135" s="6" t="s">
        <v>209</v>
      </c>
      <c r="I135" s="6" t="s">
        <v>210</v>
      </c>
      <c r="J135" s="178">
        <v>0</v>
      </c>
      <c r="N135" s="6" t="s">
        <v>209</v>
      </c>
      <c r="O135" s="6" t="s">
        <v>210</v>
      </c>
      <c r="P135" s="178">
        <v>0</v>
      </c>
      <c r="T135" s="6" t="s">
        <v>209</v>
      </c>
      <c r="U135" s="6" t="s">
        <v>210</v>
      </c>
      <c r="V135" s="178">
        <v>0</v>
      </c>
    </row>
    <row r="136" spans="2:22" hidden="1" x14ac:dyDescent="0.25">
      <c r="B136" s="6" t="s">
        <v>211</v>
      </c>
      <c r="C136" s="6" t="s">
        <v>212</v>
      </c>
      <c r="D136" s="178">
        <f t="shared" si="6"/>
        <v>0</v>
      </c>
      <c r="H136" s="6" t="s">
        <v>211</v>
      </c>
      <c r="I136" s="6" t="s">
        <v>212</v>
      </c>
      <c r="J136" s="178">
        <v>0</v>
      </c>
      <c r="N136" s="6" t="s">
        <v>211</v>
      </c>
      <c r="O136" s="6" t="s">
        <v>212</v>
      </c>
      <c r="P136" s="178">
        <v>0</v>
      </c>
      <c r="T136" s="6" t="s">
        <v>211</v>
      </c>
      <c r="U136" s="6" t="s">
        <v>212</v>
      </c>
      <c r="V136" s="178">
        <v>0</v>
      </c>
    </row>
    <row r="137" spans="2:22" hidden="1" x14ac:dyDescent="0.25">
      <c r="B137" s="6" t="s">
        <v>213</v>
      </c>
      <c r="C137" s="6" t="s">
        <v>212</v>
      </c>
      <c r="D137" s="178">
        <f t="shared" si="6"/>
        <v>0</v>
      </c>
      <c r="H137" s="6" t="s">
        <v>213</v>
      </c>
      <c r="I137" s="6" t="s">
        <v>212</v>
      </c>
      <c r="J137" s="178">
        <v>0</v>
      </c>
      <c r="N137" s="6" t="s">
        <v>213</v>
      </c>
      <c r="O137" s="6" t="s">
        <v>212</v>
      </c>
      <c r="P137" s="178">
        <v>0</v>
      </c>
      <c r="T137" s="6" t="s">
        <v>213</v>
      </c>
      <c r="U137" s="6" t="s">
        <v>212</v>
      </c>
      <c r="V137" s="178">
        <v>0</v>
      </c>
    </row>
    <row r="138" spans="2:22" hidden="1" x14ac:dyDescent="0.25">
      <c r="B138" s="6" t="s">
        <v>214</v>
      </c>
      <c r="C138" s="6" t="s">
        <v>215</v>
      </c>
      <c r="D138" s="178">
        <f t="shared" si="6"/>
        <v>0</v>
      </c>
      <c r="H138" s="6" t="s">
        <v>214</v>
      </c>
      <c r="I138" s="6" t="s">
        <v>215</v>
      </c>
      <c r="J138" s="178">
        <v>0</v>
      </c>
      <c r="N138" s="6" t="s">
        <v>214</v>
      </c>
      <c r="O138" s="6" t="s">
        <v>215</v>
      </c>
      <c r="P138" s="178">
        <v>0</v>
      </c>
      <c r="T138" s="6" t="s">
        <v>214</v>
      </c>
      <c r="U138" s="6" t="s">
        <v>215</v>
      </c>
      <c r="V138" s="178">
        <v>0</v>
      </c>
    </row>
    <row r="139" spans="2:22" hidden="1" x14ac:dyDescent="0.25">
      <c r="B139" s="6" t="s">
        <v>216</v>
      </c>
      <c r="C139" s="6" t="s">
        <v>215</v>
      </c>
      <c r="D139" s="178">
        <f t="shared" si="6"/>
        <v>0</v>
      </c>
      <c r="H139" s="6" t="s">
        <v>216</v>
      </c>
      <c r="I139" s="6" t="s">
        <v>215</v>
      </c>
      <c r="J139" s="178">
        <v>0</v>
      </c>
      <c r="N139" s="6" t="s">
        <v>216</v>
      </c>
      <c r="O139" s="6" t="s">
        <v>215</v>
      </c>
      <c r="P139" s="178">
        <v>0</v>
      </c>
      <c r="T139" s="6" t="s">
        <v>216</v>
      </c>
      <c r="U139" s="6" t="s">
        <v>215</v>
      </c>
      <c r="V139" s="178">
        <v>0</v>
      </c>
    </row>
    <row r="140" spans="2:22" hidden="1" x14ac:dyDescent="0.25">
      <c r="B140" s="6" t="s">
        <v>217</v>
      </c>
      <c r="C140" s="6" t="s">
        <v>215</v>
      </c>
      <c r="D140" s="178">
        <f t="shared" si="6"/>
        <v>0</v>
      </c>
      <c r="H140" s="6" t="s">
        <v>217</v>
      </c>
      <c r="I140" s="6" t="s">
        <v>215</v>
      </c>
      <c r="J140" s="178">
        <v>0</v>
      </c>
      <c r="N140" s="6" t="s">
        <v>217</v>
      </c>
      <c r="O140" s="6" t="s">
        <v>215</v>
      </c>
      <c r="P140" s="178">
        <v>0</v>
      </c>
      <c r="T140" s="6" t="s">
        <v>217</v>
      </c>
      <c r="U140" s="6" t="s">
        <v>215</v>
      </c>
      <c r="V140" s="178">
        <v>0</v>
      </c>
    </row>
    <row r="141" spans="2:22" hidden="1" x14ac:dyDescent="0.25">
      <c r="B141" s="6" t="s">
        <v>218</v>
      </c>
      <c r="C141" s="6" t="s">
        <v>215</v>
      </c>
      <c r="D141" s="178">
        <f t="shared" si="6"/>
        <v>0</v>
      </c>
      <c r="H141" s="6" t="s">
        <v>218</v>
      </c>
      <c r="I141" s="6" t="s">
        <v>215</v>
      </c>
      <c r="J141" s="178">
        <v>0</v>
      </c>
      <c r="N141" s="6" t="s">
        <v>218</v>
      </c>
      <c r="O141" s="6" t="s">
        <v>215</v>
      </c>
      <c r="P141" s="178">
        <v>0</v>
      </c>
      <c r="T141" s="6" t="s">
        <v>218</v>
      </c>
      <c r="U141" s="6" t="s">
        <v>215</v>
      </c>
      <c r="V141" s="178">
        <v>0</v>
      </c>
    </row>
    <row r="142" spans="2:22" hidden="1" x14ac:dyDescent="0.25">
      <c r="B142" s="6" t="s">
        <v>219</v>
      </c>
      <c r="C142" s="6" t="s">
        <v>212</v>
      </c>
      <c r="D142" s="178">
        <f t="shared" si="6"/>
        <v>0</v>
      </c>
      <c r="H142" s="6" t="s">
        <v>219</v>
      </c>
      <c r="I142" s="6" t="s">
        <v>212</v>
      </c>
      <c r="J142" s="178">
        <v>1.619014</v>
      </c>
      <c r="N142" s="6" t="s">
        <v>219</v>
      </c>
      <c r="O142" s="6" t="s">
        <v>212</v>
      </c>
      <c r="P142" s="178">
        <v>0</v>
      </c>
      <c r="T142" s="6" t="s">
        <v>219</v>
      </c>
      <c r="U142" s="6" t="s">
        <v>212</v>
      </c>
      <c r="V142" s="178">
        <v>0</v>
      </c>
    </row>
    <row r="143" spans="2:22" hidden="1" x14ac:dyDescent="0.25">
      <c r="B143" s="15" t="s">
        <v>220</v>
      </c>
      <c r="C143" s="15" t="s">
        <v>215</v>
      </c>
      <c r="D143" s="179">
        <f t="shared" si="6"/>
        <v>0</v>
      </c>
      <c r="H143" s="15" t="s">
        <v>220</v>
      </c>
      <c r="I143" s="15" t="s">
        <v>215</v>
      </c>
      <c r="J143" s="179">
        <v>0</v>
      </c>
      <c r="N143" s="15" t="s">
        <v>220</v>
      </c>
      <c r="O143" s="15" t="s">
        <v>215</v>
      </c>
      <c r="P143" s="179">
        <v>1.619014</v>
      </c>
      <c r="T143" s="15" t="s">
        <v>220</v>
      </c>
      <c r="U143" s="15" t="s">
        <v>215</v>
      </c>
      <c r="V143" s="179">
        <v>1.619014</v>
      </c>
    </row>
    <row r="144" spans="2:22" hidden="1" x14ac:dyDescent="0.25">
      <c r="B144" s="6" t="s">
        <v>221</v>
      </c>
      <c r="C144" s="6" t="s">
        <v>215</v>
      </c>
      <c r="D144" s="178">
        <f t="shared" si="6"/>
        <v>0</v>
      </c>
      <c r="H144" s="6" t="s">
        <v>221</v>
      </c>
      <c r="I144" s="6" t="s">
        <v>215</v>
      </c>
      <c r="J144" s="178">
        <v>0</v>
      </c>
      <c r="N144" s="6" t="s">
        <v>221</v>
      </c>
      <c r="O144" s="6" t="s">
        <v>215</v>
      </c>
      <c r="P144" s="178">
        <v>0</v>
      </c>
      <c r="T144" s="6" t="s">
        <v>221</v>
      </c>
      <c r="U144" s="6" t="s">
        <v>215</v>
      </c>
      <c r="V144" s="178">
        <v>0</v>
      </c>
    </row>
    <row r="145" spans="2:22" hidden="1" x14ac:dyDescent="0.25">
      <c r="B145" s="6" t="s">
        <v>222</v>
      </c>
      <c r="C145" s="6" t="s">
        <v>215</v>
      </c>
      <c r="D145" s="178">
        <f t="shared" si="6"/>
        <v>0</v>
      </c>
      <c r="H145" s="6" t="s">
        <v>222</v>
      </c>
      <c r="I145" s="6" t="s">
        <v>215</v>
      </c>
      <c r="J145" s="178">
        <v>0</v>
      </c>
      <c r="N145" s="6" t="s">
        <v>222</v>
      </c>
      <c r="O145" s="6" t="s">
        <v>215</v>
      </c>
      <c r="P145" s="178">
        <v>0</v>
      </c>
      <c r="T145" s="6" t="s">
        <v>222</v>
      </c>
      <c r="U145" s="6" t="s">
        <v>215</v>
      </c>
      <c r="V145" s="178">
        <v>0</v>
      </c>
    </row>
    <row r="146" spans="2:22" hidden="1" x14ac:dyDescent="0.25">
      <c r="B146" s="6" t="s">
        <v>223</v>
      </c>
      <c r="C146" s="6" t="s">
        <v>215</v>
      </c>
      <c r="D146" s="178">
        <f t="shared" si="6"/>
        <v>0</v>
      </c>
      <c r="H146" s="6" t="s">
        <v>223</v>
      </c>
      <c r="I146" s="6" t="s">
        <v>215</v>
      </c>
      <c r="J146" s="178">
        <v>0</v>
      </c>
      <c r="N146" s="6" t="s">
        <v>223</v>
      </c>
      <c r="O146" s="6" t="s">
        <v>215</v>
      </c>
      <c r="P146" s="178">
        <v>0</v>
      </c>
      <c r="T146" s="6" t="s">
        <v>223</v>
      </c>
      <c r="U146" s="6" t="s">
        <v>215</v>
      </c>
      <c r="V146" s="178">
        <v>0</v>
      </c>
    </row>
    <row r="147" spans="2:22" hidden="1" x14ac:dyDescent="0.25">
      <c r="B147" s="6" t="s">
        <v>224</v>
      </c>
      <c r="C147" s="6" t="s">
        <v>212</v>
      </c>
      <c r="D147" s="178">
        <f t="shared" si="6"/>
        <v>0</v>
      </c>
      <c r="H147" s="6" t="s">
        <v>224</v>
      </c>
      <c r="I147" s="6" t="s">
        <v>212</v>
      </c>
      <c r="J147" s="178">
        <v>0</v>
      </c>
      <c r="N147" s="6" t="s">
        <v>224</v>
      </c>
      <c r="O147" s="6" t="s">
        <v>212</v>
      </c>
      <c r="P147" s="178">
        <v>0</v>
      </c>
      <c r="T147" s="6" t="s">
        <v>224</v>
      </c>
      <c r="U147" s="6" t="s">
        <v>212</v>
      </c>
      <c r="V147" s="178">
        <v>0</v>
      </c>
    </row>
    <row r="148" spans="2:22" hidden="1" x14ac:dyDescent="0.25"/>
    <row r="149" spans="2:22" hidden="1" x14ac:dyDescent="0.25"/>
    <row r="150" spans="2:22" hidden="1" x14ac:dyDescent="0.25"/>
    <row r="151" spans="2:22" hidden="1" x14ac:dyDescent="0.25"/>
    <row r="152" spans="2:22" hidden="1" x14ac:dyDescent="0.25"/>
    <row r="153" spans="2:22" hidden="1" x14ac:dyDescent="0.25"/>
    <row r="154" spans="2:22" hidden="1" x14ac:dyDescent="0.25"/>
    <row r="155" spans="2:22" hidden="1" x14ac:dyDescent="0.25"/>
    <row r="156" spans="2:22" hidden="1" x14ac:dyDescent="0.25"/>
    <row r="157" spans="2:22" ht="16.5" hidden="1" thickBot="1" x14ac:dyDescent="0.3">
      <c r="B157" s="16"/>
      <c r="C157" s="16"/>
      <c r="D157" s="181"/>
      <c r="H157" s="16"/>
      <c r="I157" s="16"/>
      <c r="J157" s="181"/>
      <c r="N157" s="16"/>
      <c r="O157" s="16"/>
      <c r="P157" s="181"/>
      <c r="T157" s="16"/>
      <c r="U157" s="16"/>
      <c r="V157" s="181"/>
    </row>
    <row r="158" spans="2:22" hidden="1" x14ac:dyDescent="0.25"/>
  </sheetData>
  <sheetProtection algorithmName="SHA-512" hashValue="YiA/pxctKFW5eNG+hp+9J2FjRNcRjTlsQi74xiUg2c/wTH0vOVDAdomP4kvSxEfKZK0uUr9us6Hb+dmpEo2eDg==" saltValue="Eaw5J7Hh8DyaRfc3rngK4Q==" spinCount="100000" sheet="1" objects="1" scenarios="1"/>
  <sortState xmlns:xlrd2="http://schemas.microsoft.com/office/spreadsheetml/2017/richdata2" ref="A6:E21">
    <sortCondition descending="1" ref="C6:C21"/>
  </sortState>
  <mergeCells count="12">
    <mergeCell ref="A1:C1"/>
    <mergeCell ref="D2:E2"/>
    <mergeCell ref="D3:E3"/>
    <mergeCell ref="S1:U1"/>
    <mergeCell ref="V2:W2"/>
    <mergeCell ref="V3:W3"/>
    <mergeCell ref="M1:O1"/>
    <mergeCell ref="P2:Q2"/>
    <mergeCell ref="P3:Q3"/>
    <mergeCell ref="G1:I1"/>
    <mergeCell ref="J2:K2"/>
    <mergeCell ref="J3: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56"/>
  <sheetViews>
    <sheetView zoomScale="85" zoomScaleNormal="85" workbookViewId="0">
      <pane xSplit="1" ySplit="4" topLeftCell="B5" activePane="bottomRight" state="frozen"/>
      <selection activeCell="D1" sqref="D1:D1048576"/>
      <selection pane="topRight" activeCell="D1" sqref="D1:D1048576"/>
      <selection pane="bottomLeft" activeCell="D1" sqref="D1:D1048576"/>
      <selection pane="bottomRight" activeCell="D1" sqref="D1:D1048576"/>
    </sheetView>
  </sheetViews>
  <sheetFormatPr defaultRowHeight="15.75" x14ac:dyDescent="0.25"/>
  <cols>
    <col min="1" max="1" width="10.77734375" style="5" customWidth="1"/>
    <col min="2" max="2" width="29.6640625" style="6" customWidth="1"/>
    <col min="3" max="3" width="12.77734375" style="6" customWidth="1"/>
    <col min="4" max="4" width="12.77734375" style="8" customWidth="1"/>
    <col min="5" max="5" width="14.77734375" customWidth="1"/>
    <col min="7" max="7" width="10.77734375" style="5" customWidth="1"/>
    <col min="8" max="8" width="29.6640625" style="6" customWidth="1"/>
    <col min="9" max="9" width="12.77734375" style="6" customWidth="1"/>
    <col min="10" max="10" width="12.77734375" style="8" customWidth="1"/>
    <col min="11" max="11" width="14.77734375" customWidth="1"/>
    <col min="13" max="13" width="10.77734375" style="5" customWidth="1"/>
    <col min="14" max="14" width="29.6640625" style="6" customWidth="1"/>
    <col min="15" max="15" width="12.77734375" style="6" customWidth="1"/>
    <col min="16" max="16" width="12.77734375" style="8" customWidth="1"/>
    <col min="17" max="17" width="14.77734375" customWidth="1"/>
    <col min="19" max="19" width="10.77734375" style="5" customWidth="1"/>
    <col min="20" max="20" width="29.6640625" style="6" customWidth="1"/>
    <col min="21" max="21" width="12.77734375" style="6" customWidth="1"/>
    <col min="22" max="22" width="12.77734375" style="8" customWidth="1"/>
    <col min="23" max="23" width="14.77734375" customWidth="1"/>
    <col min="25" max="25" width="10.77734375" style="5" customWidth="1"/>
    <col min="26" max="26" width="29.6640625" style="6" customWidth="1"/>
    <col min="27" max="27" width="12.77734375" style="6" customWidth="1"/>
    <col min="28" max="28" width="12.77734375" style="8" customWidth="1"/>
    <col min="29" max="29" width="14.77734375" customWidth="1"/>
  </cols>
  <sheetData>
    <row r="1" spans="1:29" ht="19.5" thickTop="1" thickBot="1" x14ac:dyDescent="0.3">
      <c r="A1" s="272" t="s">
        <v>267</v>
      </c>
      <c r="B1" s="273"/>
      <c r="C1" s="274"/>
      <c r="D1" s="193">
        <v>44483</v>
      </c>
      <c r="G1" s="272" t="s">
        <v>301</v>
      </c>
      <c r="H1" s="273"/>
      <c r="I1" s="274"/>
      <c r="J1" s="193">
        <v>44453</v>
      </c>
      <c r="M1" s="272" t="s">
        <v>301</v>
      </c>
      <c r="N1" s="273"/>
      <c r="O1" s="274"/>
      <c r="P1" s="193">
        <v>44426</v>
      </c>
      <c r="S1" s="272" t="s">
        <v>301</v>
      </c>
      <c r="T1" s="273"/>
      <c r="U1" s="274"/>
      <c r="V1" s="193">
        <v>44391</v>
      </c>
      <c r="Y1" s="272" t="s">
        <v>301</v>
      </c>
      <c r="Z1" s="273"/>
      <c r="AA1" s="274"/>
      <c r="AB1" s="193">
        <v>44326</v>
      </c>
    </row>
    <row r="2" spans="1:29" ht="17.25" thickTop="1" thickBot="1" x14ac:dyDescent="0.3">
      <c r="A2"/>
      <c r="B2" s="5"/>
      <c r="C2" s="38"/>
      <c r="D2" s="275" t="s">
        <v>228</v>
      </c>
      <c r="E2" s="276"/>
      <c r="G2"/>
      <c r="H2" s="5"/>
      <c r="I2" s="38"/>
      <c r="J2" s="275" t="s">
        <v>296</v>
      </c>
      <c r="K2" s="276"/>
      <c r="M2"/>
      <c r="N2" s="5"/>
      <c r="O2" s="38"/>
      <c r="P2" s="275" t="s">
        <v>296</v>
      </c>
      <c r="Q2" s="276"/>
      <c r="S2"/>
      <c r="T2" s="5"/>
      <c r="U2" s="38"/>
      <c r="V2" s="275" t="s">
        <v>296</v>
      </c>
      <c r="W2" s="276"/>
      <c r="Y2"/>
      <c r="Z2" s="5"/>
      <c r="AA2" s="38"/>
      <c r="AB2" s="275" t="s">
        <v>296</v>
      </c>
      <c r="AC2" s="276"/>
    </row>
    <row r="3" spans="1:29" ht="16.5" thickBot="1" x14ac:dyDescent="0.3">
      <c r="A3"/>
      <c r="B3" s="7"/>
      <c r="C3" s="38"/>
      <c r="D3" s="277" t="s">
        <v>250</v>
      </c>
      <c r="E3" s="278"/>
      <c r="G3"/>
      <c r="H3" s="7"/>
      <c r="I3" s="38"/>
      <c r="J3" s="277" t="s">
        <v>297</v>
      </c>
      <c r="K3" s="278"/>
      <c r="M3"/>
      <c r="N3" s="7"/>
      <c r="O3" s="38"/>
      <c r="P3" s="277" t="s">
        <v>297</v>
      </c>
      <c r="Q3" s="278"/>
      <c r="S3"/>
      <c r="T3" s="7"/>
      <c r="U3" s="38"/>
      <c r="V3" s="277" t="s">
        <v>297</v>
      </c>
      <c r="W3" s="278"/>
      <c r="Y3"/>
      <c r="Z3" s="7"/>
      <c r="AA3" s="38"/>
      <c r="AB3" s="277" t="s">
        <v>297</v>
      </c>
      <c r="AC3" s="278"/>
    </row>
    <row r="4" spans="1:29" ht="31.5" x14ac:dyDescent="0.25">
      <c r="A4" s="3" t="s">
        <v>0</v>
      </c>
      <c r="B4" s="3" t="s">
        <v>1</v>
      </c>
      <c r="C4" s="4" t="s">
        <v>2</v>
      </c>
      <c r="D4" s="4" t="s">
        <v>3</v>
      </c>
      <c r="E4" s="4" t="s">
        <v>4</v>
      </c>
      <c r="G4" s="3" t="s">
        <v>0</v>
      </c>
      <c r="H4" s="3" t="s">
        <v>1</v>
      </c>
      <c r="I4" s="4" t="s">
        <v>298</v>
      </c>
      <c r="J4" s="4" t="s">
        <v>299</v>
      </c>
      <c r="K4" s="4" t="s">
        <v>300</v>
      </c>
      <c r="M4" s="3" t="s">
        <v>0</v>
      </c>
      <c r="N4" s="3" t="s">
        <v>1</v>
      </c>
      <c r="O4" s="4" t="s">
        <v>298</v>
      </c>
      <c r="P4" s="4" t="s">
        <v>299</v>
      </c>
      <c r="Q4" s="4" t="s">
        <v>300</v>
      </c>
      <c r="S4" s="3" t="s">
        <v>0</v>
      </c>
      <c r="T4" s="3" t="s">
        <v>1</v>
      </c>
      <c r="U4" s="4" t="s">
        <v>298</v>
      </c>
      <c r="V4" s="4" t="s">
        <v>299</v>
      </c>
      <c r="W4" s="4" t="s">
        <v>300</v>
      </c>
      <c r="Y4" s="3" t="s">
        <v>0</v>
      </c>
      <c r="Z4" s="3" t="s">
        <v>1</v>
      </c>
      <c r="AA4" s="4" t="s">
        <v>298</v>
      </c>
      <c r="AB4" s="4" t="s">
        <v>299</v>
      </c>
      <c r="AC4" s="4" t="s">
        <v>300</v>
      </c>
    </row>
    <row r="5" spans="1:29" x14ac:dyDescent="0.25">
      <c r="B5" s="6" t="s">
        <v>5</v>
      </c>
      <c r="C5" s="8"/>
      <c r="D5" s="9"/>
      <c r="E5" s="10"/>
      <c r="H5" s="6" t="s">
        <v>5</v>
      </c>
      <c r="I5" s="8"/>
      <c r="J5" s="9"/>
      <c r="K5" s="10"/>
      <c r="N5" s="6" t="s">
        <v>5</v>
      </c>
      <c r="O5" s="8"/>
      <c r="P5" s="9"/>
      <c r="Q5" s="10"/>
      <c r="T5" s="6" t="s">
        <v>5</v>
      </c>
      <c r="U5" s="8"/>
      <c r="V5" s="9"/>
      <c r="W5" s="10"/>
      <c r="Z5" s="6" t="s">
        <v>5</v>
      </c>
      <c r="AA5" s="8"/>
      <c r="AB5" s="9"/>
      <c r="AC5" s="10"/>
    </row>
    <row r="6" spans="1:29" x14ac:dyDescent="0.25">
      <c r="A6" s="5">
        <v>11132</v>
      </c>
      <c r="B6" s="6" t="s">
        <v>16</v>
      </c>
      <c r="C6" s="8">
        <f t="shared" ref="C6:C19" si="0">D6*10</f>
        <v>548.29999999999995</v>
      </c>
      <c r="D6" s="9">
        <f t="shared" ref="D6:D19" si="1">IFERROR(VLOOKUP(A6,raw_1,11,FALSE),0)</f>
        <v>54.83</v>
      </c>
      <c r="E6" s="10">
        <f t="shared" ref="E6:E19" si="2">IF(ISNA(VLOOKUP(B6,RMP_MFH,2,FALSE)),"N/A",VLOOKUP(B6,RMP_MFH,2,FALSE))</f>
        <v>404</v>
      </c>
      <c r="G6" s="5">
        <v>14320</v>
      </c>
      <c r="H6" s="6" t="s">
        <v>269</v>
      </c>
      <c r="I6" s="8">
        <v>491.4</v>
      </c>
      <c r="J6" s="9">
        <v>49.14</v>
      </c>
      <c r="K6" s="10">
        <v>418</v>
      </c>
      <c r="M6" s="5">
        <v>14320</v>
      </c>
      <c r="N6" s="6" t="s">
        <v>269</v>
      </c>
      <c r="O6" s="8">
        <v>563.40000000000009</v>
      </c>
      <c r="P6" s="9">
        <v>56.34</v>
      </c>
      <c r="Q6" s="10">
        <v>404</v>
      </c>
      <c r="S6" s="5">
        <v>14320</v>
      </c>
      <c r="T6" s="6" t="s">
        <v>269</v>
      </c>
      <c r="U6" s="8">
        <v>439.46716000000004</v>
      </c>
      <c r="V6" s="9">
        <v>43.946716000000002</v>
      </c>
      <c r="W6" s="10">
        <v>425</v>
      </c>
      <c r="Y6" s="5">
        <v>14320</v>
      </c>
      <c r="Z6" s="6" t="s">
        <v>269</v>
      </c>
      <c r="AA6" s="8">
        <v>547.81034999999997</v>
      </c>
      <c r="AB6" s="9">
        <v>54.781035000000003</v>
      </c>
      <c r="AC6" s="10">
        <v>343.86</v>
      </c>
    </row>
    <row r="7" spans="1:29" x14ac:dyDescent="0.25">
      <c r="A7">
        <v>40060</v>
      </c>
      <c r="B7" s="6" t="s">
        <v>112</v>
      </c>
      <c r="C7" s="8">
        <f t="shared" si="0"/>
        <v>200</v>
      </c>
      <c r="D7" s="9">
        <f t="shared" si="1"/>
        <v>20</v>
      </c>
      <c r="E7" s="10">
        <f t="shared" si="2"/>
        <v>457</v>
      </c>
      <c r="G7" s="5">
        <v>20550</v>
      </c>
      <c r="H7" s="6" t="s">
        <v>109</v>
      </c>
      <c r="I7" s="8">
        <v>200</v>
      </c>
      <c r="J7" s="9">
        <v>20</v>
      </c>
      <c r="K7" s="10">
        <v>392</v>
      </c>
      <c r="M7" s="5">
        <v>20550</v>
      </c>
      <c r="N7" s="6" t="s">
        <v>109</v>
      </c>
      <c r="O7" s="8">
        <v>200</v>
      </c>
      <c r="P7" s="9">
        <v>20</v>
      </c>
      <c r="Q7" s="10">
        <v>386</v>
      </c>
      <c r="S7" s="5">
        <v>22964</v>
      </c>
      <c r="T7" s="6" t="s">
        <v>270</v>
      </c>
      <c r="U7" s="8">
        <v>174</v>
      </c>
      <c r="V7" s="9">
        <v>17.399999999999999</v>
      </c>
      <c r="W7" s="10">
        <v>350</v>
      </c>
      <c r="Y7" s="5">
        <v>22964</v>
      </c>
      <c r="Z7" s="6" t="s">
        <v>270</v>
      </c>
      <c r="AA7" s="8">
        <v>223</v>
      </c>
      <c r="AB7" s="9">
        <v>22.3</v>
      </c>
      <c r="AC7" s="10">
        <v>285</v>
      </c>
    </row>
    <row r="8" spans="1:29" x14ac:dyDescent="0.25">
      <c r="A8" s="5">
        <v>20550</v>
      </c>
      <c r="B8" s="6" t="s">
        <v>109</v>
      </c>
      <c r="C8" s="8">
        <f t="shared" si="0"/>
        <v>200</v>
      </c>
      <c r="D8" s="9">
        <f t="shared" si="1"/>
        <v>20</v>
      </c>
      <c r="E8" s="10">
        <f t="shared" si="2"/>
        <v>450</v>
      </c>
      <c r="G8" s="5">
        <v>40060</v>
      </c>
      <c r="H8" s="6" t="s">
        <v>112</v>
      </c>
      <c r="I8" s="8">
        <v>186</v>
      </c>
      <c r="J8" s="9">
        <v>18.600000000000001</v>
      </c>
      <c r="K8" s="10">
        <v>390</v>
      </c>
      <c r="M8" s="5">
        <v>40060</v>
      </c>
      <c r="N8" s="6" t="s">
        <v>112</v>
      </c>
      <c r="O8" s="8">
        <v>180</v>
      </c>
      <c r="P8" s="9">
        <v>18</v>
      </c>
      <c r="Q8" s="10">
        <v>395</v>
      </c>
      <c r="S8" s="5">
        <v>20550</v>
      </c>
      <c r="T8" s="6" t="s">
        <v>109</v>
      </c>
      <c r="U8" s="8">
        <v>198</v>
      </c>
      <c r="V8" s="9">
        <v>19.8</v>
      </c>
      <c r="W8" s="10">
        <v>390</v>
      </c>
      <c r="Y8" s="5">
        <v>40004</v>
      </c>
      <c r="Z8" s="6" t="s">
        <v>15</v>
      </c>
      <c r="AA8" s="8">
        <v>201.78965000000002</v>
      </c>
      <c r="AB8" s="9">
        <v>20.178965000000002</v>
      </c>
      <c r="AC8" s="10">
        <v>366.17</v>
      </c>
    </row>
    <row r="9" spans="1:29" x14ac:dyDescent="0.25">
      <c r="A9" s="5">
        <v>42120</v>
      </c>
      <c r="B9" s="6" t="s">
        <v>272</v>
      </c>
      <c r="C9" s="8">
        <f t="shared" si="0"/>
        <v>29</v>
      </c>
      <c r="D9" s="9">
        <f t="shared" si="1"/>
        <v>2.9</v>
      </c>
      <c r="E9" s="10">
        <f t="shared" si="2"/>
        <v>618</v>
      </c>
      <c r="G9" s="5">
        <v>10020</v>
      </c>
      <c r="H9" s="6" t="s">
        <v>17</v>
      </c>
      <c r="I9" s="8">
        <v>100</v>
      </c>
      <c r="J9" s="9">
        <v>10</v>
      </c>
      <c r="K9" s="10">
        <v>395</v>
      </c>
      <c r="M9" s="5">
        <v>22964</v>
      </c>
      <c r="N9" s="6" t="s">
        <v>270</v>
      </c>
      <c r="O9" s="8">
        <v>34</v>
      </c>
      <c r="P9" s="9">
        <v>3.4</v>
      </c>
      <c r="Q9" s="10">
        <v>380</v>
      </c>
      <c r="S9" s="5">
        <v>40004</v>
      </c>
      <c r="T9" s="6" t="s">
        <v>15</v>
      </c>
      <c r="U9" s="8">
        <v>162.83283999999998</v>
      </c>
      <c r="V9" s="9">
        <v>16.283283999999998</v>
      </c>
      <c r="W9" s="10">
        <v>460</v>
      </c>
      <c r="Y9" s="5">
        <v>60080</v>
      </c>
      <c r="Z9" s="6" t="s">
        <v>273</v>
      </c>
      <c r="AA9" s="8">
        <v>12</v>
      </c>
      <c r="AB9" s="9">
        <v>1.2</v>
      </c>
      <c r="AC9" s="10">
        <v>132</v>
      </c>
    </row>
    <row r="10" spans="1:29" x14ac:dyDescent="0.25">
      <c r="A10" s="5">
        <v>60080</v>
      </c>
      <c r="B10" s="6" t="s">
        <v>273</v>
      </c>
      <c r="C10" s="8">
        <f t="shared" si="0"/>
        <v>10</v>
      </c>
      <c r="D10" s="9">
        <f t="shared" si="1"/>
        <v>1</v>
      </c>
      <c r="E10" s="10">
        <f t="shared" si="2"/>
        <v>132</v>
      </c>
      <c r="G10" s="5">
        <v>60080</v>
      </c>
      <c r="H10" s="6" t="s">
        <v>273</v>
      </c>
      <c r="I10" s="8">
        <v>10</v>
      </c>
      <c r="J10" s="9">
        <v>1</v>
      </c>
      <c r="K10" s="10">
        <v>132</v>
      </c>
      <c r="M10" s="5">
        <v>60080</v>
      </c>
      <c r="N10" s="6" t="s">
        <v>273</v>
      </c>
      <c r="O10" s="8">
        <v>10</v>
      </c>
      <c r="P10" s="9">
        <v>1</v>
      </c>
      <c r="Q10" s="10">
        <v>110</v>
      </c>
      <c r="S10" s="5">
        <v>60080</v>
      </c>
      <c r="T10" s="6" t="s">
        <v>273</v>
      </c>
      <c r="U10" s="8">
        <v>12</v>
      </c>
      <c r="V10" s="9">
        <v>1.2</v>
      </c>
      <c r="W10" s="10">
        <v>132</v>
      </c>
      <c r="Y10" s="5">
        <v>60700</v>
      </c>
      <c r="Z10" s="6" t="s">
        <v>275</v>
      </c>
      <c r="AA10" s="8">
        <v>5</v>
      </c>
      <c r="AB10" s="9">
        <v>0.5</v>
      </c>
      <c r="AC10" s="10">
        <v>115</v>
      </c>
    </row>
    <row r="11" spans="1:29" x14ac:dyDescent="0.25">
      <c r="A11" s="5">
        <v>66069</v>
      </c>
      <c r="B11" s="6" t="s">
        <v>277</v>
      </c>
      <c r="C11" s="8">
        <f t="shared" si="0"/>
        <v>4.2</v>
      </c>
      <c r="D11" s="9">
        <f t="shared" si="1"/>
        <v>0.42</v>
      </c>
      <c r="E11" s="10">
        <f t="shared" si="2"/>
        <v>2610</v>
      </c>
      <c r="G11" s="5">
        <v>66069</v>
      </c>
      <c r="H11" s="6" t="s">
        <v>277</v>
      </c>
      <c r="I11" s="8">
        <v>4.2</v>
      </c>
      <c r="J11" s="9">
        <v>0.42</v>
      </c>
      <c r="K11" s="10">
        <v>2195</v>
      </c>
      <c r="M11" s="5">
        <v>66069</v>
      </c>
      <c r="N11" s="6" t="s">
        <v>277</v>
      </c>
      <c r="O11" s="8">
        <v>4.2</v>
      </c>
      <c r="P11" s="9">
        <v>0.42</v>
      </c>
      <c r="Q11" s="10">
        <v>2050</v>
      </c>
      <c r="S11" s="5">
        <v>60700</v>
      </c>
      <c r="T11" s="6" t="s">
        <v>275</v>
      </c>
      <c r="U11" s="8">
        <v>4.5</v>
      </c>
      <c r="V11" s="9">
        <v>0.45</v>
      </c>
      <c r="W11" s="10">
        <v>115</v>
      </c>
      <c r="Y11" s="5">
        <v>66069</v>
      </c>
      <c r="Z11" s="6" t="s">
        <v>277</v>
      </c>
      <c r="AA11" s="8">
        <v>4.2</v>
      </c>
      <c r="AB11" s="9">
        <v>0.42</v>
      </c>
      <c r="AC11" s="10">
        <v>2050</v>
      </c>
    </row>
    <row r="12" spans="1:29" x14ac:dyDescent="0.25">
      <c r="A12" s="5">
        <v>60700</v>
      </c>
      <c r="B12" s="6" t="s">
        <v>275</v>
      </c>
      <c r="C12" s="8">
        <f t="shared" si="0"/>
        <v>4</v>
      </c>
      <c r="D12" s="9">
        <f t="shared" si="1"/>
        <v>0.4</v>
      </c>
      <c r="E12" s="10">
        <f t="shared" si="2"/>
        <v>115</v>
      </c>
      <c r="G12" s="5">
        <v>60700</v>
      </c>
      <c r="H12" s="6" t="s">
        <v>275</v>
      </c>
      <c r="I12" s="8">
        <v>4</v>
      </c>
      <c r="J12" s="9">
        <v>0.4</v>
      </c>
      <c r="K12" s="10">
        <v>115</v>
      </c>
      <c r="M12" s="5">
        <v>60700</v>
      </c>
      <c r="N12" s="6" t="s">
        <v>275</v>
      </c>
      <c r="O12" s="8">
        <v>4</v>
      </c>
      <c r="P12" s="9">
        <v>0.4</v>
      </c>
      <c r="Q12" s="10">
        <v>100</v>
      </c>
      <c r="S12" s="5">
        <v>66069</v>
      </c>
      <c r="T12" s="6" t="s">
        <v>277</v>
      </c>
      <c r="U12" s="8">
        <v>4.2</v>
      </c>
      <c r="V12" s="9">
        <v>0.42</v>
      </c>
      <c r="W12" s="10">
        <v>2100</v>
      </c>
      <c r="Y12" s="5">
        <v>91000</v>
      </c>
      <c r="Z12" s="6" t="s">
        <v>278</v>
      </c>
      <c r="AA12" s="8">
        <v>3</v>
      </c>
      <c r="AB12" s="9">
        <v>0.3</v>
      </c>
      <c r="AC12" s="10">
        <v>2650</v>
      </c>
    </row>
    <row r="13" spans="1:29" x14ac:dyDescent="0.25">
      <c r="A13" s="5">
        <v>91000</v>
      </c>
      <c r="B13" s="6" t="s">
        <v>306</v>
      </c>
      <c r="C13" s="8">
        <f t="shared" si="0"/>
        <v>3</v>
      </c>
      <c r="D13" s="9">
        <f t="shared" si="1"/>
        <v>0.3</v>
      </c>
      <c r="E13" s="10">
        <f t="shared" si="2"/>
        <v>2650</v>
      </c>
      <c r="G13" s="5">
        <v>91000</v>
      </c>
      <c r="H13" s="6" t="s">
        <v>306</v>
      </c>
      <c r="I13" s="8">
        <v>3</v>
      </c>
      <c r="J13" s="9">
        <v>0.3</v>
      </c>
      <c r="K13" s="10">
        <v>2200</v>
      </c>
      <c r="M13" s="5">
        <v>91000</v>
      </c>
      <c r="N13" s="6" t="s">
        <v>306</v>
      </c>
      <c r="O13" s="8">
        <v>3</v>
      </c>
      <c r="P13" s="9">
        <v>0.3</v>
      </c>
      <c r="Q13" s="10">
        <v>2050</v>
      </c>
      <c r="S13" s="5">
        <v>91000</v>
      </c>
      <c r="T13" s="6" t="s">
        <v>306</v>
      </c>
      <c r="U13" s="8">
        <v>3</v>
      </c>
      <c r="V13" s="9">
        <v>0.3</v>
      </c>
      <c r="W13" s="10">
        <v>2650</v>
      </c>
      <c r="Y13" s="5">
        <v>66300</v>
      </c>
      <c r="Z13" s="6" t="s">
        <v>11</v>
      </c>
      <c r="AA13" s="8">
        <v>1.1500000000000001</v>
      </c>
      <c r="AB13" s="9">
        <v>0.115</v>
      </c>
      <c r="AC13" s="10">
        <v>3200</v>
      </c>
    </row>
    <row r="14" spans="1:29" x14ac:dyDescent="0.25">
      <c r="A14" s="5">
        <v>922556</v>
      </c>
      <c r="B14" s="6" t="s">
        <v>281</v>
      </c>
      <c r="C14" s="8">
        <f t="shared" si="0"/>
        <v>1</v>
      </c>
      <c r="D14" s="9">
        <f t="shared" si="1"/>
        <v>0.1</v>
      </c>
      <c r="E14" s="10">
        <f t="shared" si="2"/>
        <v>8400</v>
      </c>
      <c r="G14" s="5">
        <v>922556</v>
      </c>
      <c r="H14" s="6" t="s">
        <v>281</v>
      </c>
      <c r="I14" s="8">
        <v>1</v>
      </c>
      <c r="J14" s="9">
        <v>0.1</v>
      </c>
      <c r="K14" s="10">
        <v>8400</v>
      </c>
      <c r="M14" s="5">
        <v>922556</v>
      </c>
      <c r="N14" s="6" t="s">
        <v>281</v>
      </c>
      <c r="O14" s="8">
        <v>1</v>
      </c>
      <c r="P14" s="9">
        <v>0.1</v>
      </c>
      <c r="Q14" s="10">
        <v>8400</v>
      </c>
      <c r="S14" s="5">
        <v>66300</v>
      </c>
      <c r="T14" s="6" t="s">
        <v>11</v>
      </c>
      <c r="U14" s="8">
        <v>0.5</v>
      </c>
      <c r="V14" s="9">
        <v>0.05</v>
      </c>
      <c r="W14" s="10">
        <v>3200</v>
      </c>
      <c r="Y14" s="5">
        <v>922556</v>
      </c>
      <c r="Z14" s="6" t="s">
        <v>281</v>
      </c>
      <c r="AA14" s="8">
        <v>1</v>
      </c>
      <c r="AB14" s="9">
        <v>0.1</v>
      </c>
      <c r="AC14" s="10">
        <v>8500</v>
      </c>
    </row>
    <row r="15" spans="1:29" x14ac:dyDescent="0.25">
      <c r="A15" s="5">
        <v>61800</v>
      </c>
      <c r="B15" s="6" t="s">
        <v>116</v>
      </c>
      <c r="C15" s="8">
        <f t="shared" si="0"/>
        <v>0.4</v>
      </c>
      <c r="D15" s="9">
        <f t="shared" si="1"/>
        <v>0.04</v>
      </c>
      <c r="E15" s="10">
        <f t="shared" si="2"/>
        <v>4225</v>
      </c>
      <c r="G15" s="5">
        <v>61800</v>
      </c>
      <c r="H15" s="6" t="s">
        <v>116</v>
      </c>
      <c r="I15" s="8">
        <v>0.4</v>
      </c>
      <c r="J15" s="9">
        <v>0.04</v>
      </c>
      <c r="K15" s="10">
        <v>4225</v>
      </c>
      <c r="M15" s="5">
        <v>61800</v>
      </c>
      <c r="N15" s="6" t="s">
        <v>116</v>
      </c>
      <c r="O15" s="8">
        <v>0.4</v>
      </c>
      <c r="P15" s="9">
        <v>0.04</v>
      </c>
      <c r="Q15" s="10">
        <v>4180</v>
      </c>
      <c r="S15" s="5">
        <v>922556</v>
      </c>
      <c r="T15" s="6" t="s">
        <v>281</v>
      </c>
      <c r="U15" s="8">
        <v>1</v>
      </c>
      <c r="V15" s="9">
        <v>0.1</v>
      </c>
      <c r="W15" s="10">
        <v>8400</v>
      </c>
      <c r="Y15" s="5">
        <v>66100</v>
      </c>
      <c r="Z15" s="6" t="s">
        <v>13</v>
      </c>
      <c r="AA15" s="8">
        <v>0.55000000000000004</v>
      </c>
      <c r="AB15" s="9">
        <v>5.5E-2</v>
      </c>
      <c r="AC15" s="10">
        <v>4525</v>
      </c>
    </row>
    <row r="16" spans="1:29" x14ac:dyDescent="0.25">
      <c r="A16" s="5">
        <v>66200</v>
      </c>
      <c r="B16" s="6" t="s">
        <v>14</v>
      </c>
      <c r="C16" s="8">
        <f t="shared" si="0"/>
        <v>0.1</v>
      </c>
      <c r="D16" s="9">
        <f t="shared" si="1"/>
        <v>0.01</v>
      </c>
      <c r="E16" s="10">
        <f t="shared" si="2"/>
        <v>13250</v>
      </c>
      <c r="G16" s="5">
        <v>40004</v>
      </c>
      <c r="H16" s="6" t="s">
        <v>15</v>
      </c>
      <c r="I16" s="8">
        <v>0</v>
      </c>
      <c r="J16" s="9">
        <v>0</v>
      </c>
      <c r="K16" s="10">
        <v>470</v>
      </c>
      <c r="M16" s="5">
        <v>40004</v>
      </c>
      <c r="N16" s="6" t="s">
        <v>15</v>
      </c>
      <c r="O16" s="8">
        <v>0</v>
      </c>
      <c r="P16" s="9">
        <v>0</v>
      </c>
      <c r="Q16" s="10">
        <v>490</v>
      </c>
      <c r="S16" s="5">
        <v>66100</v>
      </c>
      <c r="T16" s="6" t="s">
        <v>13</v>
      </c>
      <c r="U16" s="8">
        <v>0</v>
      </c>
      <c r="V16" s="9">
        <v>0</v>
      </c>
      <c r="W16" s="10">
        <v>4525</v>
      </c>
      <c r="Y16" s="5">
        <v>61800</v>
      </c>
      <c r="Z16" s="6" t="s">
        <v>116</v>
      </c>
      <c r="AA16" s="8">
        <v>0.4</v>
      </c>
      <c r="AB16" s="9">
        <v>0.04</v>
      </c>
      <c r="AC16" s="10">
        <v>4120</v>
      </c>
    </row>
    <row r="17" spans="1:29" x14ac:dyDescent="0.25">
      <c r="A17" s="5">
        <v>14320</v>
      </c>
      <c r="B17" s="6" t="s">
        <v>269</v>
      </c>
      <c r="C17" s="8">
        <f t="shared" si="0"/>
        <v>0</v>
      </c>
      <c r="D17" s="9">
        <f t="shared" si="1"/>
        <v>0</v>
      </c>
      <c r="E17" s="10">
        <f t="shared" si="2"/>
        <v>468</v>
      </c>
      <c r="G17" s="5">
        <v>66300</v>
      </c>
      <c r="H17" s="6" t="s">
        <v>11</v>
      </c>
      <c r="I17" s="8">
        <v>0</v>
      </c>
      <c r="J17" s="9">
        <v>0</v>
      </c>
      <c r="K17" s="10">
        <v>13750</v>
      </c>
      <c r="M17" s="5">
        <v>66300</v>
      </c>
      <c r="N17" s="6" t="s">
        <v>11</v>
      </c>
      <c r="O17" s="8">
        <v>0</v>
      </c>
      <c r="P17" s="9">
        <v>0</v>
      </c>
      <c r="Q17" s="10">
        <v>3300</v>
      </c>
      <c r="S17" s="5">
        <v>61800</v>
      </c>
      <c r="T17" s="6" t="s">
        <v>116</v>
      </c>
      <c r="U17" s="8">
        <v>0.4</v>
      </c>
      <c r="V17" s="9">
        <v>0.04</v>
      </c>
      <c r="W17" s="10">
        <v>4180</v>
      </c>
      <c r="Y17" s="5">
        <v>66200</v>
      </c>
      <c r="Z17" s="6" t="s">
        <v>14</v>
      </c>
      <c r="AA17" s="8">
        <v>0.1</v>
      </c>
      <c r="AB17" s="9">
        <v>0.01</v>
      </c>
      <c r="AC17" s="10">
        <v>12750</v>
      </c>
    </row>
    <row r="18" spans="1:29" x14ac:dyDescent="0.25">
      <c r="A18" s="5">
        <v>66300</v>
      </c>
      <c r="B18" s="6" t="s">
        <v>11</v>
      </c>
      <c r="C18" s="8">
        <f t="shared" si="0"/>
        <v>0</v>
      </c>
      <c r="D18" s="9">
        <f t="shared" si="1"/>
        <v>0</v>
      </c>
      <c r="E18" s="10">
        <f t="shared" si="2"/>
        <v>4000</v>
      </c>
      <c r="G18" s="5">
        <v>66100</v>
      </c>
      <c r="H18" s="6" t="s">
        <v>13</v>
      </c>
      <c r="I18" s="8">
        <v>0</v>
      </c>
      <c r="J18" s="9">
        <v>0</v>
      </c>
      <c r="K18" s="10">
        <v>4200</v>
      </c>
      <c r="M18" s="5">
        <v>66100</v>
      </c>
      <c r="N18" s="6" t="s">
        <v>13</v>
      </c>
      <c r="O18" s="8">
        <v>0</v>
      </c>
      <c r="P18" s="9">
        <v>0</v>
      </c>
      <c r="Q18" s="10">
        <v>4350</v>
      </c>
      <c r="S18" s="5">
        <v>66200</v>
      </c>
      <c r="T18" s="6" t="s">
        <v>14</v>
      </c>
      <c r="U18" s="8">
        <v>0.1</v>
      </c>
      <c r="V18" s="9">
        <v>0.01</v>
      </c>
      <c r="W18" s="10">
        <v>12750</v>
      </c>
      <c r="AA18" s="8"/>
      <c r="AB18" s="9"/>
      <c r="AC18" s="10"/>
    </row>
    <row r="19" spans="1:29" x14ac:dyDescent="0.25">
      <c r="A19" s="5">
        <v>10020</v>
      </c>
      <c r="B19" s="6" t="s">
        <v>17</v>
      </c>
      <c r="C19" s="8">
        <f t="shared" si="0"/>
        <v>0</v>
      </c>
      <c r="D19" s="9">
        <f t="shared" si="1"/>
        <v>0</v>
      </c>
      <c r="E19" s="10">
        <f t="shared" si="2"/>
        <v>430</v>
      </c>
      <c r="I19" s="8"/>
      <c r="J19" s="9"/>
      <c r="K19" s="10"/>
      <c r="O19" s="8"/>
      <c r="P19" s="9"/>
      <c r="Q19" s="10"/>
      <c r="U19" s="8"/>
      <c r="V19" s="9"/>
      <c r="W19" s="10"/>
      <c r="AA19" s="8"/>
      <c r="AB19" s="9"/>
      <c r="AC19" s="10"/>
    </row>
    <row r="20" spans="1:29" x14ac:dyDescent="0.25">
      <c r="C20" s="8"/>
      <c r="D20" s="9"/>
      <c r="E20" s="10"/>
      <c r="I20" s="8"/>
      <c r="J20" s="9"/>
      <c r="K20" s="10"/>
      <c r="O20" s="8"/>
      <c r="P20" s="9"/>
      <c r="Q20" s="10"/>
      <c r="U20" s="8"/>
      <c r="V20" s="9"/>
      <c r="W20" s="10"/>
      <c r="AA20" s="8"/>
      <c r="AB20" s="9"/>
      <c r="AC20" s="10"/>
    </row>
    <row r="21" spans="1:29" x14ac:dyDescent="0.25">
      <c r="C21" s="8"/>
      <c r="D21" s="9"/>
      <c r="E21" s="10"/>
      <c r="I21" s="8"/>
      <c r="J21" s="9"/>
      <c r="K21" s="10"/>
      <c r="O21" s="8"/>
      <c r="P21" s="9"/>
      <c r="Q21" s="10"/>
      <c r="U21" s="8"/>
      <c r="V21" s="9"/>
      <c r="W21" s="10"/>
      <c r="AA21" s="8"/>
      <c r="AB21" s="9"/>
      <c r="AC21" s="10"/>
    </row>
    <row r="22" spans="1:29" ht="16.5" thickBot="1" x14ac:dyDescent="0.3">
      <c r="B22" s="11" t="s">
        <v>6</v>
      </c>
      <c r="C22" s="12">
        <f>SUM(C6:C21)</f>
        <v>1000</v>
      </c>
      <c r="D22" s="13">
        <f>SUM(D6:D21)</f>
        <v>100.00000000000001</v>
      </c>
      <c r="E22" s="37" cm="1">
        <f t="array" ref="E22">SUMPRODUCT(C6:C21,E6:E21/1000)</f>
        <v>452.9421999999999</v>
      </c>
      <c r="H22" s="11" t="s">
        <v>6</v>
      </c>
      <c r="I22" s="12">
        <v>1000</v>
      </c>
      <c r="J22" s="13">
        <v>100.00000000000001</v>
      </c>
      <c r="K22" s="37">
        <v>423.5342</v>
      </c>
      <c r="N22" s="11" t="s">
        <v>6</v>
      </c>
      <c r="O22" s="12">
        <v>1000.0000000000001</v>
      </c>
      <c r="P22" s="13">
        <v>100.00000000000001</v>
      </c>
      <c r="Q22" s="37">
        <v>415.1656000000001</v>
      </c>
      <c r="T22" s="11" t="s">
        <v>6</v>
      </c>
      <c r="U22" s="12">
        <v>1000</v>
      </c>
      <c r="V22" s="13">
        <v>100</v>
      </c>
      <c r="W22" s="37">
        <v>431.61514940000001</v>
      </c>
      <c r="Z22" s="11" t="s">
        <v>6</v>
      </c>
      <c r="AA22" s="12">
        <v>1000</v>
      </c>
      <c r="AB22" s="13">
        <v>100.00000000000001</v>
      </c>
      <c r="AC22" s="37">
        <v>362.12513309149995</v>
      </c>
    </row>
    <row r="23" spans="1:29" x14ac:dyDescent="0.25">
      <c r="C23"/>
      <c r="D23"/>
      <c r="E23" s="201">
        <f>E22-K22</f>
        <v>29.407999999999902</v>
      </c>
      <c r="I23"/>
      <c r="J23"/>
      <c r="K23">
        <v>8.3685999999999012</v>
      </c>
      <c r="O23"/>
      <c r="P23"/>
      <c r="Q23">
        <v>-16.44954939999991</v>
      </c>
      <c r="U23"/>
      <c r="V23"/>
      <c r="W23">
        <v>69.49001630850006</v>
      </c>
      <c r="AA23"/>
      <c r="AB23"/>
    </row>
    <row r="24" spans="1:29" ht="16.5" thickBot="1" x14ac:dyDescent="0.3">
      <c r="C24"/>
      <c r="D24"/>
      <c r="E24" s="187"/>
      <c r="I24"/>
      <c r="J24"/>
      <c r="K24" s="187"/>
      <c r="O24"/>
      <c r="P24"/>
      <c r="Q24" s="187"/>
      <c r="U24"/>
      <c r="V24"/>
      <c r="W24" s="187"/>
      <c r="AA24"/>
      <c r="AB24"/>
      <c r="AC24" s="187"/>
    </row>
    <row r="25" spans="1:29" x14ac:dyDescent="0.25">
      <c r="B25" s="14" t="s">
        <v>7</v>
      </c>
      <c r="C25" s="14" t="s">
        <v>8</v>
      </c>
      <c r="D25" s="14" t="s">
        <v>9</v>
      </c>
      <c r="H25" s="14" t="s">
        <v>7</v>
      </c>
      <c r="I25" s="14" t="s">
        <v>8</v>
      </c>
      <c r="J25" s="14" t="s">
        <v>9</v>
      </c>
      <c r="N25" s="14" t="s">
        <v>7</v>
      </c>
      <c r="O25" s="14" t="s">
        <v>8</v>
      </c>
      <c r="P25" s="14" t="s">
        <v>9</v>
      </c>
      <c r="T25" s="14" t="s">
        <v>7</v>
      </c>
      <c r="U25" s="14" t="s">
        <v>8</v>
      </c>
      <c r="V25" s="14" t="s">
        <v>9</v>
      </c>
      <c r="Z25" s="14" t="s">
        <v>7</v>
      </c>
      <c r="AA25" s="14" t="s">
        <v>8</v>
      </c>
      <c r="AB25" s="14" t="s">
        <v>9</v>
      </c>
    </row>
    <row r="26" spans="1:29" x14ac:dyDescent="0.25">
      <c r="B26" s="6" t="s">
        <v>18</v>
      </c>
      <c r="C26" s="6" t="s">
        <v>19</v>
      </c>
      <c r="D26" s="178">
        <f t="shared" ref="D26:D57" si="3">IFERROR(VLOOKUP(B26,raw_2,10,FALSE),0)</f>
        <v>100</v>
      </c>
      <c r="H26" s="6" t="s">
        <v>18</v>
      </c>
      <c r="I26" s="6" t="s">
        <v>19</v>
      </c>
      <c r="J26" s="178">
        <v>100</v>
      </c>
      <c r="N26" s="6" t="s">
        <v>18</v>
      </c>
      <c r="O26" s="6" t="s">
        <v>19</v>
      </c>
      <c r="P26" s="178">
        <v>100</v>
      </c>
      <c r="T26" s="6" t="s">
        <v>18</v>
      </c>
      <c r="U26" s="6" t="s">
        <v>19</v>
      </c>
      <c r="V26" s="178">
        <v>100</v>
      </c>
      <c r="Z26" s="6" t="s">
        <v>18</v>
      </c>
      <c r="AA26" s="6" t="s">
        <v>19</v>
      </c>
      <c r="AB26" s="178">
        <v>100</v>
      </c>
    </row>
    <row r="27" spans="1:29" x14ac:dyDescent="0.25">
      <c r="B27" s="6" t="s">
        <v>20</v>
      </c>
      <c r="C27" s="6" t="s">
        <v>19</v>
      </c>
      <c r="D27" s="178">
        <f t="shared" si="3"/>
        <v>88.044439999999994</v>
      </c>
      <c r="H27" s="6" t="s">
        <v>20</v>
      </c>
      <c r="I27" s="6" t="s">
        <v>19</v>
      </c>
      <c r="J27" s="178">
        <v>88.487440000000007</v>
      </c>
      <c r="N27" s="6" t="s">
        <v>20</v>
      </c>
      <c r="O27" s="6" t="s">
        <v>19</v>
      </c>
      <c r="P27" s="178">
        <v>88.597239999999999</v>
      </c>
      <c r="T27" s="6" t="s">
        <v>20</v>
      </c>
      <c r="U27" s="6" t="s">
        <v>19</v>
      </c>
      <c r="V27" s="178">
        <v>88.381006999999997</v>
      </c>
      <c r="Z27" s="6" t="s">
        <v>20</v>
      </c>
      <c r="AA27" s="6" t="s">
        <v>19</v>
      </c>
      <c r="AB27" s="178">
        <v>88.188676999999998</v>
      </c>
    </row>
    <row r="28" spans="1:29" x14ac:dyDescent="0.25">
      <c r="B28" s="6" t="s">
        <v>21</v>
      </c>
      <c r="C28" s="6" t="s">
        <v>19</v>
      </c>
      <c r="D28" s="178">
        <f t="shared" si="3"/>
        <v>19.081600000000002</v>
      </c>
      <c r="H28" s="6" t="s">
        <v>21</v>
      </c>
      <c r="I28" s="6" t="s">
        <v>19</v>
      </c>
      <c r="J28" s="178">
        <v>20.011299999999999</v>
      </c>
      <c r="N28" s="6" t="s">
        <v>21</v>
      </c>
      <c r="O28" s="6" t="s">
        <v>19</v>
      </c>
      <c r="P28" s="178">
        <v>20.2193</v>
      </c>
      <c r="T28" s="6" t="s">
        <v>21</v>
      </c>
      <c r="U28" s="6" t="s">
        <v>19</v>
      </c>
      <c r="V28" s="178">
        <v>18.471277000000001</v>
      </c>
      <c r="Z28" s="6" t="s">
        <v>21</v>
      </c>
      <c r="AA28" s="6" t="s">
        <v>19</v>
      </c>
      <c r="AB28" s="178">
        <v>15.916607000000001</v>
      </c>
    </row>
    <row r="29" spans="1:29" x14ac:dyDescent="0.25">
      <c r="B29" s="6" t="s">
        <v>22</v>
      </c>
      <c r="C29" s="6" t="s">
        <v>19</v>
      </c>
      <c r="D29" s="178">
        <f t="shared" si="3"/>
        <v>4.5007599999999996</v>
      </c>
      <c r="H29" s="6" t="s">
        <v>22</v>
      </c>
      <c r="I29" s="6" t="s">
        <v>19</v>
      </c>
      <c r="J29" s="178">
        <v>3.32714</v>
      </c>
      <c r="N29" s="6" t="s">
        <v>22</v>
      </c>
      <c r="O29" s="6" t="s">
        <v>19</v>
      </c>
      <c r="P29" s="178">
        <v>3.3963800000000002</v>
      </c>
      <c r="T29" s="6" t="s">
        <v>22</v>
      </c>
      <c r="U29" s="6" t="s">
        <v>19</v>
      </c>
      <c r="V29" s="178">
        <v>3.3486690000000001</v>
      </c>
      <c r="Z29" s="6" t="s">
        <v>22</v>
      </c>
      <c r="AA29" s="6" t="s">
        <v>19</v>
      </c>
      <c r="AB29" s="178">
        <v>2.2453569999999998</v>
      </c>
    </row>
    <row r="30" spans="1:29" x14ac:dyDescent="0.25">
      <c r="B30" s="15" t="s">
        <v>23</v>
      </c>
      <c r="C30" s="15" t="s">
        <v>19</v>
      </c>
      <c r="D30" s="179">
        <f t="shared" si="3"/>
        <v>5.4622099999999998</v>
      </c>
      <c r="H30" s="15" t="s">
        <v>23</v>
      </c>
      <c r="I30" s="15" t="s">
        <v>19</v>
      </c>
      <c r="J30" s="179">
        <v>5.4425999999999997</v>
      </c>
      <c r="N30" s="15" t="s">
        <v>23</v>
      </c>
      <c r="O30" s="15" t="s">
        <v>19</v>
      </c>
      <c r="P30" s="179">
        <v>5.4786400000000004</v>
      </c>
      <c r="T30" s="15" t="s">
        <v>23</v>
      </c>
      <c r="U30" s="15" t="s">
        <v>19</v>
      </c>
      <c r="V30" s="179">
        <v>5.3685689999999999</v>
      </c>
      <c r="Z30" s="15" t="s">
        <v>23</v>
      </c>
      <c r="AA30" s="15" t="s">
        <v>19</v>
      </c>
      <c r="AB30" s="179">
        <v>4.8836769999999996</v>
      </c>
    </row>
    <row r="31" spans="1:29" x14ac:dyDescent="0.25">
      <c r="B31" s="6" t="s">
        <v>24</v>
      </c>
      <c r="C31" s="6" t="s">
        <v>19</v>
      </c>
      <c r="D31" s="178">
        <f t="shared" si="3"/>
        <v>4.7398150000000001</v>
      </c>
      <c r="H31" s="6" t="s">
        <v>24</v>
      </c>
      <c r="I31" s="6" t="s">
        <v>19</v>
      </c>
      <c r="J31" s="178">
        <v>4.94252</v>
      </c>
      <c r="N31" s="6" t="s">
        <v>24</v>
      </c>
      <c r="O31" s="6" t="s">
        <v>19</v>
      </c>
      <c r="P31" s="178">
        <v>4.9604600000000003</v>
      </c>
      <c r="T31" s="6" t="s">
        <v>24</v>
      </c>
      <c r="U31" s="6" t="s">
        <v>19</v>
      </c>
      <c r="V31" s="178">
        <v>4.8876030000000004</v>
      </c>
      <c r="Z31" s="6" t="s">
        <v>24</v>
      </c>
      <c r="AA31" s="6" t="s">
        <v>19</v>
      </c>
      <c r="AB31" s="178">
        <v>4.4741169999999997</v>
      </c>
    </row>
    <row r="32" spans="1:29" x14ac:dyDescent="0.25">
      <c r="B32" s="6" t="s">
        <v>25</v>
      </c>
      <c r="C32" s="6" t="s">
        <v>19</v>
      </c>
      <c r="D32" s="178">
        <f t="shared" si="3"/>
        <v>11.95556</v>
      </c>
      <c r="H32" s="6" t="s">
        <v>25</v>
      </c>
      <c r="I32" s="6" t="s">
        <v>19</v>
      </c>
      <c r="J32" s="178">
        <v>11.512560000000001</v>
      </c>
      <c r="N32" s="6" t="s">
        <v>25</v>
      </c>
      <c r="O32" s="6" t="s">
        <v>19</v>
      </c>
      <c r="P32" s="178">
        <v>11.402760000000001</v>
      </c>
      <c r="T32" s="6" t="s">
        <v>25</v>
      </c>
      <c r="U32" s="6" t="s">
        <v>19</v>
      </c>
      <c r="V32" s="178">
        <v>11.618993</v>
      </c>
      <c r="Z32" s="6" t="s">
        <v>25</v>
      </c>
      <c r="AA32" s="6" t="s">
        <v>19</v>
      </c>
      <c r="AB32" s="178">
        <v>11.811323</v>
      </c>
    </row>
    <row r="33" spans="1:28" x14ac:dyDescent="0.25">
      <c r="B33" s="6" t="s">
        <v>178</v>
      </c>
      <c r="C33" s="6" t="s">
        <v>19</v>
      </c>
      <c r="D33" s="178">
        <f t="shared" si="3"/>
        <v>54.263415000000002</v>
      </c>
      <c r="H33" s="6" t="s">
        <v>178</v>
      </c>
      <c r="I33" s="6" t="s">
        <v>19</v>
      </c>
      <c r="J33" s="178">
        <v>54.767240000000001</v>
      </c>
      <c r="N33" s="6" t="s">
        <v>178</v>
      </c>
      <c r="O33" s="6" t="s">
        <v>19</v>
      </c>
      <c r="P33" s="178">
        <v>54.545819999999999</v>
      </c>
      <c r="T33" s="6" t="s">
        <v>178</v>
      </c>
      <c r="U33" s="6" t="s">
        <v>19</v>
      </c>
      <c r="V33" s="178">
        <v>56.308250000000001</v>
      </c>
      <c r="Z33" s="6" t="s">
        <v>178</v>
      </c>
      <c r="AA33" s="6" t="s">
        <v>19</v>
      </c>
      <c r="AB33" s="178">
        <v>60.672280000000001</v>
      </c>
    </row>
    <row r="34" spans="1:28" x14ac:dyDescent="0.25">
      <c r="B34" s="6" t="s">
        <v>26</v>
      </c>
      <c r="C34" s="6" t="s">
        <v>19</v>
      </c>
      <c r="D34" s="178">
        <f t="shared" si="3"/>
        <v>17.019919999999999</v>
      </c>
      <c r="H34" s="6" t="s">
        <v>26</v>
      </c>
      <c r="I34" s="6" t="s">
        <v>19</v>
      </c>
      <c r="J34" s="178">
        <v>18.82</v>
      </c>
      <c r="N34" s="6" t="s">
        <v>26</v>
      </c>
      <c r="O34" s="6" t="s">
        <v>19</v>
      </c>
      <c r="P34" s="178">
        <v>18.78406</v>
      </c>
      <c r="T34" s="6" t="s">
        <v>26</v>
      </c>
      <c r="U34" s="6" t="s">
        <v>19</v>
      </c>
      <c r="V34" s="178">
        <v>19.071103000000001</v>
      </c>
      <c r="Z34" s="6" t="s">
        <v>26</v>
      </c>
      <c r="AA34" s="6" t="s">
        <v>19</v>
      </c>
      <c r="AB34" s="178">
        <v>16.542482</v>
      </c>
    </row>
    <row r="35" spans="1:28" x14ac:dyDescent="0.25">
      <c r="B35" s="6" t="s">
        <v>27</v>
      </c>
      <c r="C35" s="6" t="s">
        <v>19</v>
      </c>
      <c r="D35" s="178">
        <f t="shared" si="3"/>
        <v>7.7105899999999998</v>
      </c>
      <c r="H35" s="6" t="s">
        <v>27</v>
      </c>
      <c r="I35" s="6" t="s">
        <v>19</v>
      </c>
      <c r="J35" s="178">
        <v>7.6795400000000003</v>
      </c>
      <c r="N35" s="6" t="s">
        <v>27</v>
      </c>
      <c r="O35" s="6" t="s">
        <v>19</v>
      </c>
      <c r="P35" s="178">
        <v>7.5039999999999996</v>
      </c>
      <c r="T35" s="6" t="s">
        <v>27</v>
      </c>
      <c r="U35" s="6" t="s">
        <v>19</v>
      </c>
      <c r="V35" s="178">
        <v>7.2691369999999997</v>
      </c>
      <c r="Z35" s="6" t="s">
        <v>27</v>
      </c>
      <c r="AA35" s="6" t="s">
        <v>19</v>
      </c>
      <c r="AB35" s="178">
        <v>5.7010259999999997</v>
      </c>
    </row>
    <row r="36" spans="1:28" x14ac:dyDescent="0.25">
      <c r="B36" s="6" t="s">
        <v>179</v>
      </c>
      <c r="C36" s="6" t="s">
        <v>19</v>
      </c>
      <c r="D36" s="178">
        <f t="shared" si="3"/>
        <v>22.131392000000002</v>
      </c>
      <c r="H36" s="6" t="s">
        <v>179</v>
      </c>
      <c r="I36" s="6" t="s">
        <v>19</v>
      </c>
      <c r="J36" s="178">
        <v>19.418731999999999</v>
      </c>
      <c r="N36" s="6" t="s">
        <v>179</v>
      </c>
      <c r="O36" s="6" t="s">
        <v>19</v>
      </c>
      <c r="P36" s="178">
        <v>19.870491999999999</v>
      </c>
      <c r="T36" s="6" t="s">
        <v>179</v>
      </c>
      <c r="U36" s="6" t="s">
        <v>19</v>
      </c>
      <c r="V36" s="178">
        <v>21.039797</v>
      </c>
      <c r="Z36" s="6" t="s">
        <v>179</v>
      </c>
      <c r="AA36" s="6" t="s">
        <v>19</v>
      </c>
      <c r="AB36" s="178">
        <v>17.557956999999998</v>
      </c>
    </row>
    <row r="37" spans="1:28" x14ac:dyDescent="0.25">
      <c r="B37" s="6" t="s">
        <v>28</v>
      </c>
      <c r="C37" s="6" t="s">
        <v>19</v>
      </c>
      <c r="D37" s="178">
        <f t="shared" si="3"/>
        <v>35.531649999999999</v>
      </c>
      <c r="H37" s="6" t="s">
        <v>28</v>
      </c>
      <c r="I37" s="6" t="s">
        <v>19</v>
      </c>
      <c r="J37" s="178">
        <v>32.980980000000002</v>
      </c>
      <c r="N37" s="6" t="s">
        <v>28</v>
      </c>
      <c r="O37" s="6" t="s">
        <v>19</v>
      </c>
      <c r="P37" s="178">
        <v>32.539380000000001</v>
      </c>
      <c r="T37" s="6" t="s">
        <v>28</v>
      </c>
      <c r="U37" s="6" t="s">
        <v>19</v>
      </c>
      <c r="V37" s="178">
        <v>35.062702000000002</v>
      </c>
      <c r="Z37" s="6" t="s">
        <v>28</v>
      </c>
      <c r="AA37" s="6" t="s">
        <v>19</v>
      </c>
      <c r="AB37" s="178">
        <v>43.288832999999997</v>
      </c>
    </row>
    <row r="38" spans="1:28" x14ac:dyDescent="0.25">
      <c r="B38" s="6" t="s">
        <v>180</v>
      </c>
      <c r="C38" s="6" t="s">
        <v>19</v>
      </c>
      <c r="D38" s="178">
        <f t="shared" si="3"/>
        <v>2.689975</v>
      </c>
      <c r="H38" s="6" t="s">
        <v>180</v>
      </c>
      <c r="I38" s="6" t="s">
        <v>19</v>
      </c>
      <c r="J38" s="178">
        <v>2.996442</v>
      </c>
      <c r="N38" s="6" t="s">
        <v>180</v>
      </c>
      <c r="O38" s="6" t="s">
        <v>19</v>
      </c>
      <c r="P38" s="178">
        <v>3.1395019999999998</v>
      </c>
      <c r="T38" s="6" t="s">
        <v>180</v>
      </c>
      <c r="U38" s="6" t="s">
        <v>19</v>
      </c>
      <c r="V38" s="178">
        <v>2.8895040000000001</v>
      </c>
      <c r="Z38" s="6" t="s">
        <v>180</v>
      </c>
      <c r="AA38" s="6" t="s">
        <v>19</v>
      </c>
      <c r="AB38" s="178">
        <v>3.6354700000000002</v>
      </c>
    </row>
    <row r="39" spans="1:28" x14ac:dyDescent="0.25">
      <c r="B39" s="6" t="s">
        <v>119</v>
      </c>
      <c r="C39" s="6" t="s">
        <v>19</v>
      </c>
      <c r="D39" s="178">
        <f t="shared" si="3"/>
        <v>0</v>
      </c>
      <c r="H39" s="6" t="s">
        <v>119</v>
      </c>
      <c r="I39" s="6" t="s">
        <v>19</v>
      </c>
      <c r="J39" s="178">
        <v>0</v>
      </c>
      <c r="N39" s="6" t="s">
        <v>119</v>
      </c>
      <c r="O39" s="6" t="s">
        <v>19</v>
      </c>
      <c r="P39" s="178">
        <v>0</v>
      </c>
      <c r="T39" s="6" t="s">
        <v>119</v>
      </c>
      <c r="U39" s="6" t="s">
        <v>19</v>
      </c>
      <c r="V39" s="178">
        <v>0</v>
      </c>
      <c r="Z39" s="6" t="s">
        <v>119</v>
      </c>
      <c r="AA39" s="6" t="s">
        <v>19</v>
      </c>
      <c r="AB39" s="178">
        <v>0</v>
      </c>
    </row>
    <row r="40" spans="1:28" x14ac:dyDescent="0.25">
      <c r="B40" s="6" t="s">
        <v>29</v>
      </c>
      <c r="C40" s="6" t="s">
        <v>30</v>
      </c>
      <c r="D40" s="178">
        <f t="shared" si="3"/>
        <v>3.310346</v>
      </c>
      <c r="H40" s="6" t="s">
        <v>29</v>
      </c>
      <c r="I40" s="6" t="s">
        <v>30</v>
      </c>
      <c r="J40" s="178">
        <v>3.2656420000000002</v>
      </c>
      <c r="N40" s="6" t="s">
        <v>29</v>
      </c>
      <c r="O40" s="6" t="s">
        <v>30</v>
      </c>
      <c r="P40" s="178">
        <v>3.2649599999999999</v>
      </c>
      <c r="T40" s="6" t="s">
        <v>29</v>
      </c>
      <c r="U40" s="6" t="s">
        <v>30</v>
      </c>
      <c r="V40" s="178">
        <v>3.2020360000000001</v>
      </c>
      <c r="Z40" s="6" t="s">
        <v>29</v>
      </c>
      <c r="AA40" s="6" t="s">
        <v>30</v>
      </c>
      <c r="AB40" s="178">
        <v>3.130226</v>
      </c>
    </row>
    <row r="41" spans="1:28" x14ac:dyDescent="0.25">
      <c r="B41" s="6" t="s">
        <v>31</v>
      </c>
      <c r="C41" s="6" t="s">
        <v>30</v>
      </c>
      <c r="D41" s="178">
        <f t="shared" si="3"/>
        <v>3.1720470000000001</v>
      </c>
      <c r="H41" s="6" t="s">
        <v>31</v>
      </c>
      <c r="I41" s="6" t="s">
        <v>30</v>
      </c>
      <c r="J41" s="178">
        <v>3.121502</v>
      </c>
      <c r="N41" s="6" t="s">
        <v>31</v>
      </c>
      <c r="O41" s="6" t="s">
        <v>30</v>
      </c>
      <c r="P41" s="178">
        <v>3.1202619999999999</v>
      </c>
      <c r="T41" s="6" t="s">
        <v>31</v>
      </c>
      <c r="U41" s="6" t="s">
        <v>30</v>
      </c>
      <c r="V41" s="178">
        <v>3.0724010000000002</v>
      </c>
      <c r="Z41" s="6" t="s">
        <v>31</v>
      </c>
      <c r="AA41" s="6" t="s">
        <v>30</v>
      </c>
      <c r="AB41" s="178">
        <v>3.00508</v>
      </c>
    </row>
    <row r="42" spans="1:28" x14ac:dyDescent="0.25">
      <c r="B42" s="15" t="s">
        <v>32</v>
      </c>
      <c r="C42" s="15" t="s">
        <v>30</v>
      </c>
      <c r="D42" s="179">
        <f t="shared" si="3"/>
        <v>2.3224849999999999</v>
      </c>
      <c r="H42" s="15" t="s">
        <v>32</v>
      </c>
      <c r="I42" s="15" t="s">
        <v>30</v>
      </c>
      <c r="J42" s="179">
        <v>2.2497630000000002</v>
      </c>
      <c r="N42" s="15" t="s">
        <v>32</v>
      </c>
      <c r="O42" s="15" t="s">
        <v>30</v>
      </c>
      <c r="P42" s="179">
        <v>2.249619</v>
      </c>
      <c r="T42" s="15" t="s">
        <v>32</v>
      </c>
      <c r="U42" s="15" t="s">
        <v>30</v>
      </c>
      <c r="V42" s="179">
        <v>2.2499410000000002</v>
      </c>
      <c r="Z42" s="15" t="s">
        <v>32</v>
      </c>
      <c r="AA42" s="15" t="s">
        <v>30</v>
      </c>
      <c r="AB42" s="179">
        <v>2.2504119999999999</v>
      </c>
    </row>
    <row r="43" spans="1:28" x14ac:dyDescent="0.25">
      <c r="B43" s="6" t="s">
        <v>33</v>
      </c>
      <c r="C43" s="6" t="s">
        <v>30</v>
      </c>
      <c r="D43" s="178">
        <f t="shared" si="3"/>
        <v>2.415724</v>
      </c>
      <c r="H43" s="6" t="s">
        <v>33</v>
      </c>
      <c r="I43" s="6" t="s">
        <v>30</v>
      </c>
      <c r="J43" s="178">
        <v>2.3116840000000001</v>
      </c>
      <c r="N43" s="6" t="s">
        <v>33</v>
      </c>
      <c r="O43" s="6" t="s">
        <v>30</v>
      </c>
      <c r="P43" s="178">
        <v>2.3131379999999999</v>
      </c>
      <c r="T43" s="6" t="s">
        <v>33</v>
      </c>
      <c r="U43" s="6" t="s">
        <v>30</v>
      </c>
      <c r="V43" s="178">
        <v>2.3128139999999999</v>
      </c>
      <c r="Z43" s="6" t="s">
        <v>33</v>
      </c>
      <c r="AA43" s="6" t="s">
        <v>30</v>
      </c>
      <c r="AB43" s="178">
        <v>2.3015620000000001</v>
      </c>
    </row>
    <row r="44" spans="1:28" x14ac:dyDescent="0.25">
      <c r="B44" s="15" t="s">
        <v>34</v>
      </c>
      <c r="C44" s="15" t="s">
        <v>19</v>
      </c>
      <c r="D44" s="179">
        <f t="shared" si="3"/>
        <v>0.55940599999999996</v>
      </c>
      <c r="H44" s="15" t="s">
        <v>34</v>
      </c>
      <c r="I44" s="15" t="s">
        <v>19</v>
      </c>
      <c r="J44" s="179">
        <v>0.55891000000000002</v>
      </c>
      <c r="N44" s="15" t="s">
        <v>34</v>
      </c>
      <c r="O44" s="15" t="s">
        <v>19</v>
      </c>
      <c r="P44" s="179">
        <v>0.55645</v>
      </c>
      <c r="T44" s="15" t="s">
        <v>34</v>
      </c>
      <c r="U44" s="15" t="s">
        <v>19</v>
      </c>
      <c r="V44" s="179">
        <v>0.54354999999999998</v>
      </c>
      <c r="Z44" s="15" t="s">
        <v>34</v>
      </c>
      <c r="AA44" s="15" t="s">
        <v>19</v>
      </c>
      <c r="AB44" s="179">
        <v>0.55040100000000003</v>
      </c>
    </row>
    <row r="45" spans="1:28" s="36" customFormat="1" x14ac:dyDescent="0.25">
      <c r="A45" s="35"/>
      <c r="B45" s="18" t="s">
        <v>225</v>
      </c>
      <c r="C45" s="18" t="s">
        <v>19</v>
      </c>
      <c r="D45" s="180">
        <f t="shared" si="3"/>
        <v>0</v>
      </c>
      <c r="G45" s="35"/>
      <c r="H45" s="18" t="s">
        <v>225</v>
      </c>
      <c r="I45" s="18" t="s">
        <v>19</v>
      </c>
      <c r="J45" s="180">
        <v>0</v>
      </c>
      <c r="M45" s="35"/>
      <c r="N45" s="18" t="s">
        <v>225</v>
      </c>
      <c r="O45" s="18" t="s">
        <v>19</v>
      </c>
      <c r="P45" s="180">
        <v>0</v>
      </c>
      <c r="S45" s="35"/>
      <c r="T45" s="18" t="s">
        <v>225</v>
      </c>
      <c r="U45" s="18" t="s">
        <v>19</v>
      </c>
      <c r="V45" s="180">
        <v>0</v>
      </c>
      <c r="Y45" s="35"/>
      <c r="Z45" s="18" t="s">
        <v>225</v>
      </c>
      <c r="AA45" s="18" t="s">
        <v>19</v>
      </c>
      <c r="AB45" s="180">
        <v>0</v>
      </c>
    </row>
    <row r="46" spans="1:28" s="36" customFormat="1" x14ac:dyDescent="0.25">
      <c r="A46" s="35"/>
      <c r="B46" s="18" t="s">
        <v>226</v>
      </c>
      <c r="C46" s="18" t="s">
        <v>19</v>
      </c>
      <c r="D46" s="180">
        <f t="shared" si="3"/>
        <v>0</v>
      </c>
      <c r="G46" s="35"/>
      <c r="H46" s="18" t="s">
        <v>226</v>
      </c>
      <c r="I46" s="18" t="s">
        <v>19</v>
      </c>
      <c r="J46" s="180">
        <v>0</v>
      </c>
      <c r="M46" s="35"/>
      <c r="N46" s="18" t="s">
        <v>226</v>
      </c>
      <c r="O46" s="18" t="s">
        <v>19</v>
      </c>
      <c r="P46" s="180">
        <v>0</v>
      </c>
      <c r="S46" s="35"/>
      <c r="T46" s="18" t="s">
        <v>226</v>
      </c>
      <c r="U46" s="18" t="s">
        <v>19</v>
      </c>
      <c r="V46" s="180">
        <v>0</v>
      </c>
      <c r="Y46" s="35"/>
      <c r="Z46" s="18" t="s">
        <v>226</v>
      </c>
      <c r="AA46" s="18" t="s">
        <v>19</v>
      </c>
      <c r="AB46" s="180">
        <v>0</v>
      </c>
    </row>
    <row r="47" spans="1:28" x14ac:dyDescent="0.25">
      <c r="B47" s="6" t="s">
        <v>35</v>
      </c>
      <c r="C47" s="6" t="s">
        <v>19</v>
      </c>
      <c r="D47" s="178">
        <f t="shared" si="3"/>
        <v>0.51235200000000003</v>
      </c>
      <c r="H47" s="6" t="s">
        <v>35</v>
      </c>
      <c r="I47" s="6" t="s">
        <v>19</v>
      </c>
      <c r="J47" s="178">
        <v>0.54815599999999998</v>
      </c>
      <c r="N47" s="6" t="s">
        <v>35</v>
      </c>
      <c r="O47" s="6" t="s">
        <v>19</v>
      </c>
      <c r="P47" s="178">
        <v>0.56275600000000003</v>
      </c>
      <c r="T47" s="6" t="s">
        <v>35</v>
      </c>
      <c r="U47" s="6" t="s">
        <v>19</v>
      </c>
      <c r="V47" s="178">
        <v>0.52081699999999997</v>
      </c>
      <c r="Z47" s="6" t="s">
        <v>35</v>
      </c>
      <c r="AA47" s="6" t="s">
        <v>19</v>
      </c>
      <c r="AB47" s="178">
        <v>0.47396500000000003</v>
      </c>
    </row>
    <row r="48" spans="1:28" x14ac:dyDescent="0.25">
      <c r="B48" s="15" t="s">
        <v>36</v>
      </c>
      <c r="C48" s="15" t="s">
        <v>19</v>
      </c>
      <c r="D48" s="179">
        <f t="shared" si="3"/>
        <v>0.291545</v>
      </c>
      <c r="H48" s="15" t="s">
        <v>36</v>
      </c>
      <c r="I48" s="15" t="s">
        <v>19</v>
      </c>
      <c r="J48" s="179">
        <v>0.322355</v>
      </c>
      <c r="N48" s="15" t="s">
        <v>36</v>
      </c>
      <c r="O48" s="15" t="s">
        <v>19</v>
      </c>
      <c r="P48" s="179">
        <v>0.32759100000000002</v>
      </c>
      <c r="T48" s="15" t="s">
        <v>36</v>
      </c>
      <c r="U48" s="15" t="s">
        <v>19</v>
      </c>
      <c r="V48" s="179">
        <v>0.31868800000000003</v>
      </c>
      <c r="Z48" s="15" t="s">
        <v>36</v>
      </c>
      <c r="AA48" s="15" t="s">
        <v>19</v>
      </c>
      <c r="AB48" s="179">
        <v>0.26921600000000001</v>
      </c>
    </row>
    <row r="49" spans="2:28" x14ac:dyDescent="0.25">
      <c r="B49" s="6" t="s">
        <v>37</v>
      </c>
      <c r="C49" s="6" t="s">
        <v>19</v>
      </c>
      <c r="D49" s="178">
        <f t="shared" si="3"/>
        <v>0.26883200000000002</v>
      </c>
      <c r="H49" s="6" t="s">
        <v>37</v>
      </c>
      <c r="I49" s="6" t="s">
        <v>19</v>
      </c>
      <c r="J49" s="178">
        <v>0.281171</v>
      </c>
      <c r="N49" s="6" t="s">
        <v>37</v>
      </c>
      <c r="O49" s="6" t="s">
        <v>19</v>
      </c>
      <c r="P49" s="178">
        <v>0.28222900000000001</v>
      </c>
      <c r="T49" s="6" t="s">
        <v>37</v>
      </c>
      <c r="U49" s="6" t="s">
        <v>19</v>
      </c>
      <c r="V49" s="178">
        <v>0.27052799999999999</v>
      </c>
      <c r="Z49" s="6" t="s">
        <v>37</v>
      </c>
      <c r="AA49" s="6" t="s">
        <v>19</v>
      </c>
      <c r="AB49" s="178">
        <v>0.21654200000000001</v>
      </c>
    </row>
    <row r="50" spans="2:28" x14ac:dyDescent="0.25">
      <c r="B50" s="6" t="s">
        <v>38</v>
      </c>
      <c r="C50" s="6" t="s">
        <v>19</v>
      </c>
      <c r="D50" s="178">
        <f t="shared" si="3"/>
        <v>0.31186399999999997</v>
      </c>
      <c r="H50" s="6" t="s">
        <v>38</v>
      </c>
      <c r="I50" s="6" t="s">
        <v>19</v>
      </c>
      <c r="J50" s="178">
        <v>0.36183599999999999</v>
      </c>
      <c r="N50" s="6" t="s">
        <v>38</v>
      </c>
      <c r="O50" s="6" t="s">
        <v>19</v>
      </c>
      <c r="P50" s="178">
        <v>0.375282</v>
      </c>
      <c r="T50" s="6" t="s">
        <v>38</v>
      </c>
      <c r="U50" s="6" t="s">
        <v>19</v>
      </c>
      <c r="V50" s="178">
        <v>0.38451600000000002</v>
      </c>
      <c r="Z50" s="6" t="s">
        <v>38</v>
      </c>
      <c r="AA50" s="6" t="s">
        <v>19</v>
      </c>
      <c r="AB50" s="178">
        <v>0.34178500000000001</v>
      </c>
    </row>
    <row r="51" spans="2:28" x14ac:dyDescent="0.25">
      <c r="B51" s="6" t="s">
        <v>39</v>
      </c>
      <c r="C51" s="6" t="s">
        <v>19</v>
      </c>
      <c r="D51" s="178">
        <f t="shared" si="3"/>
        <v>0.32280700000000001</v>
      </c>
      <c r="H51" s="6" t="s">
        <v>39</v>
      </c>
      <c r="I51" s="6" t="s">
        <v>19</v>
      </c>
      <c r="J51" s="178">
        <v>0.32780100000000001</v>
      </c>
      <c r="N51" s="6" t="s">
        <v>39</v>
      </c>
      <c r="O51" s="6" t="s">
        <v>19</v>
      </c>
      <c r="P51" s="178">
        <v>0.33716499999999999</v>
      </c>
      <c r="T51" s="6" t="s">
        <v>39</v>
      </c>
      <c r="U51" s="6" t="s">
        <v>19</v>
      </c>
      <c r="V51" s="178">
        <v>0.30412899999999998</v>
      </c>
      <c r="Z51" s="6" t="s">
        <v>39</v>
      </c>
      <c r="AA51" s="6" t="s">
        <v>19</v>
      </c>
      <c r="AB51" s="178">
        <v>0.30674899999999999</v>
      </c>
    </row>
    <row r="52" spans="2:28" x14ac:dyDescent="0.25">
      <c r="B52" s="15" t="s">
        <v>40</v>
      </c>
      <c r="C52" s="15" t="s">
        <v>19</v>
      </c>
      <c r="D52" s="179">
        <f t="shared" si="3"/>
        <v>0.10199999999999999</v>
      </c>
      <c r="H52" s="15" t="s">
        <v>40</v>
      </c>
      <c r="I52" s="15" t="s">
        <v>19</v>
      </c>
      <c r="J52" s="179">
        <v>0.10199999999999999</v>
      </c>
      <c r="N52" s="15" t="s">
        <v>40</v>
      </c>
      <c r="O52" s="15" t="s">
        <v>19</v>
      </c>
      <c r="P52" s="179">
        <v>0.10199999999999999</v>
      </c>
      <c r="T52" s="15" t="s">
        <v>40</v>
      </c>
      <c r="U52" s="15" t="s">
        <v>19</v>
      </c>
      <c r="V52" s="179">
        <v>0.10199999999999999</v>
      </c>
      <c r="Z52" s="15" t="s">
        <v>40</v>
      </c>
      <c r="AA52" s="15" t="s">
        <v>19</v>
      </c>
      <c r="AB52" s="179">
        <v>0.10199999999999999</v>
      </c>
    </row>
    <row r="53" spans="2:28" x14ac:dyDescent="0.25">
      <c r="B53" s="6" t="s">
        <v>41</v>
      </c>
      <c r="C53" s="6" t="s">
        <v>19</v>
      </c>
      <c r="D53" s="178">
        <f t="shared" si="3"/>
        <v>9.1800000000000007E-2</v>
      </c>
      <c r="H53" s="6" t="s">
        <v>41</v>
      </c>
      <c r="I53" s="6" t="s">
        <v>19</v>
      </c>
      <c r="J53" s="178">
        <v>9.1800000000000007E-2</v>
      </c>
      <c r="N53" s="6" t="s">
        <v>41</v>
      </c>
      <c r="O53" s="6" t="s">
        <v>19</v>
      </c>
      <c r="P53" s="178">
        <v>9.1800000000000007E-2</v>
      </c>
      <c r="T53" s="6" t="s">
        <v>41</v>
      </c>
      <c r="U53" s="6" t="s">
        <v>19</v>
      </c>
      <c r="V53" s="178">
        <v>9.1800000000000007E-2</v>
      </c>
      <c r="Z53" s="6" t="s">
        <v>41</v>
      </c>
      <c r="AA53" s="6" t="s">
        <v>19</v>
      </c>
      <c r="AB53" s="178">
        <v>9.1800000000000007E-2</v>
      </c>
    </row>
    <row r="54" spans="2:28" x14ac:dyDescent="0.25">
      <c r="B54" s="6" t="s">
        <v>42</v>
      </c>
      <c r="C54" s="6" t="s">
        <v>19</v>
      </c>
      <c r="D54" s="178">
        <f t="shared" si="3"/>
        <v>9.3840000000000007E-2</v>
      </c>
      <c r="H54" s="6" t="s">
        <v>42</v>
      </c>
      <c r="I54" s="6" t="s">
        <v>19</v>
      </c>
      <c r="J54" s="178">
        <v>9.3840000000000007E-2</v>
      </c>
      <c r="N54" s="6" t="s">
        <v>42</v>
      </c>
      <c r="O54" s="6" t="s">
        <v>19</v>
      </c>
      <c r="P54" s="178">
        <v>9.3840000000000007E-2</v>
      </c>
      <c r="T54" s="6" t="s">
        <v>42</v>
      </c>
      <c r="U54" s="6" t="s">
        <v>19</v>
      </c>
      <c r="V54" s="178">
        <v>9.3840000000000007E-2</v>
      </c>
      <c r="Z54" s="6" t="s">
        <v>42</v>
      </c>
      <c r="AA54" s="6" t="s">
        <v>19</v>
      </c>
      <c r="AB54" s="178">
        <v>9.3840000000000007E-2</v>
      </c>
    </row>
    <row r="55" spans="2:28" x14ac:dyDescent="0.25">
      <c r="B55" s="15" t="s">
        <v>43</v>
      </c>
      <c r="C55" s="15" t="s">
        <v>44</v>
      </c>
      <c r="D55" s="183">
        <f t="shared" si="3"/>
        <v>500</v>
      </c>
      <c r="H55" s="15" t="s">
        <v>43</v>
      </c>
      <c r="I55" s="15" t="s">
        <v>44</v>
      </c>
      <c r="J55" s="183">
        <v>500</v>
      </c>
      <c r="N55" s="15" t="s">
        <v>43</v>
      </c>
      <c r="O55" s="15" t="s">
        <v>44</v>
      </c>
      <c r="P55" s="183">
        <v>500</v>
      </c>
      <c r="T55" s="15" t="s">
        <v>43</v>
      </c>
      <c r="U55" s="15" t="s">
        <v>44</v>
      </c>
      <c r="V55" s="183">
        <v>500</v>
      </c>
      <c r="Z55" s="15" t="s">
        <v>43</v>
      </c>
      <c r="AA55" s="15" t="s">
        <v>44</v>
      </c>
      <c r="AB55" s="183">
        <v>500</v>
      </c>
    </row>
    <row r="56" spans="2:28" x14ac:dyDescent="0.25">
      <c r="B56" s="15" t="s">
        <v>45</v>
      </c>
      <c r="C56" s="15" t="s">
        <v>46</v>
      </c>
      <c r="D56" s="182">
        <f t="shared" si="3"/>
        <v>1.091839</v>
      </c>
      <c r="H56" s="15" t="s">
        <v>45</v>
      </c>
      <c r="I56" s="15" t="s">
        <v>46</v>
      </c>
      <c r="J56" s="182">
        <v>1.0196190000000001</v>
      </c>
      <c r="N56" s="15" t="s">
        <v>45</v>
      </c>
      <c r="O56" s="15" t="s">
        <v>46</v>
      </c>
      <c r="P56" s="182">
        <v>0.98879399999999995</v>
      </c>
      <c r="T56" s="15" t="s">
        <v>45</v>
      </c>
      <c r="U56" s="15" t="s">
        <v>46</v>
      </c>
      <c r="V56" s="182">
        <v>1.043649</v>
      </c>
      <c r="Z56" s="15" t="s">
        <v>45</v>
      </c>
      <c r="AA56" s="15" t="s">
        <v>46</v>
      </c>
      <c r="AB56" s="182">
        <v>1.1612690000000001</v>
      </c>
    </row>
    <row r="57" spans="2:28" x14ac:dyDescent="0.25">
      <c r="B57" s="6" t="s">
        <v>47</v>
      </c>
      <c r="C57" s="6" t="s">
        <v>46</v>
      </c>
      <c r="D57" s="178">
        <f t="shared" si="3"/>
        <v>1.9187639999999999</v>
      </c>
      <c r="H57" s="6" t="s">
        <v>47</v>
      </c>
      <c r="I57" s="6" t="s">
        <v>46</v>
      </c>
      <c r="J57" s="178">
        <v>1.7338359999999999</v>
      </c>
      <c r="N57" s="6" t="s">
        <v>47</v>
      </c>
      <c r="O57" s="6" t="s">
        <v>46</v>
      </c>
      <c r="P57" s="178">
        <v>1.6986140000000001</v>
      </c>
      <c r="T57" s="6" t="s">
        <v>47</v>
      </c>
      <c r="U57" s="6" t="s">
        <v>46</v>
      </c>
      <c r="V57" s="178">
        <v>1.7055880000000001</v>
      </c>
      <c r="Z57" s="6" t="s">
        <v>47</v>
      </c>
      <c r="AA57" s="6" t="s">
        <v>46</v>
      </c>
      <c r="AB57" s="178">
        <v>2.0444580000000001</v>
      </c>
    </row>
    <row r="58" spans="2:28" x14ac:dyDescent="0.25">
      <c r="B58" s="6" t="s">
        <v>48</v>
      </c>
      <c r="C58" s="6" t="s">
        <v>46</v>
      </c>
      <c r="D58" s="178">
        <f t="shared" ref="D58:D89" si="4">IFERROR(VLOOKUP(B58,raw_2,10,FALSE),0)</f>
        <v>2.0808800000000001</v>
      </c>
      <c r="H58" s="6" t="s">
        <v>48</v>
      </c>
      <c r="I58" s="6" t="s">
        <v>46</v>
      </c>
      <c r="J58" s="178">
        <v>1.9877940000000001</v>
      </c>
      <c r="N58" s="6" t="s">
        <v>48</v>
      </c>
      <c r="O58" s="6" t="s">
        <v>46</v>
      </c>
      <c r="P58" s="178">
        <v>1.9716260000000001</v>
      </c>
      <c r="T58" s="6" t="s">
        <v>48</v>
      </c>
      <c r="U58" s="6" t="s">
        <v>46</v>
      </c>
      <c r="V58" s="178">
        <v>2.0092219999999998</v>
      </c>
      <c r="Z58" s="6" t="s">
        <v>48</v>
      </c>
      <c r="AA58" s="6" t="s">
        <v>46</v>
      </c>
      <c r="AB58" s="178">
        <v>2.5417770000000002</v>
      </c>
    </row>
    <row r="59" spans="2:28" x14ac:dyDescent="0.25">
      <c r="B59" s="6" t="s">
        <v>181</v>
      </c>
      <c r="C59" s="6" t="s">
        <v>46</v>
      </c>
      <c r="D59" s="178">
        <f t="shared" si="4"/>
        <v>1.793752</v>
      </c>
      <c r="H59" s="6" t="s">
        <v>181</v>
      </c>
      <c r="I59" s="6" t="s">
        <v>46</v>
      </c>
      <c r="J59" s="178">
        <v>1.5446500000000001</v>
      </c>
      <c r="N59" s="6" t="s">
        <v>181</v>
      </c>
      <c r="O59" s="6" t="s">
        <v>46</v>
      </c>
      <c r="P59" s="178">
        <v>1.4827520000000001</v>
      </c>
      <c r="T59" s="6" t="s">
        <v>181</v>
      </c>
      <c r="U59" s="6" t="s">
        <v>46</v>
      </c>
      <c r="V59" s="178">
        <v>1.4135960000000001</v>
      </c>
      <c r="Z59" s="6" t="s">
        <v>181</v>
      </c>
      <c r="AA59" s="6" t="s">
        <v>46</v>
      </c>
      <c r="AB59" s="178">
        <v>1.610371</v>
      </c>
    </row>
    <row r="60" spans="2:28" x14ac:dyDescent="0.25">
      <c r="B60" s="15" t="s">
        <v>49</v>
      </c>
      <c r="C60" s="15" t="s">
        <v>19</v>
      </c>
      <c r="D60" s="179">
        <f t="shared" si="4"/>
        <v>0.21657299999999999</v>
      </c>
      <c r="H60" s="15" t="s">
        <v>49</v>
      </c>
      <c r="I60" s="15" t="s">
        <v>19</v>
      </c>
      <c r="J60" s="179">
        <v>0.21573400000000001</v>
      </c>
      <c r="N60" s="15" t="s">
        <v>49</v>
      </c>
      <c r="O60" s="15" t="s">
        <v>19</v>
      </c>
      <c r="P60" s="179">
        <v>0.21554400000000001</v>
      </c>
      <c r="T60" s="15" t="s">
        <v>49</v>
      </c>
      <c r="U60" s="15" t="s">
        <v>19</v>
      </c>
      <c r="V60" s="179">
        <v>0.22577700000000001</v>
      </c>
      <c r="Z60" s="15" t="s">
        <v>49</v>
      </c>
      <c r="AA60" s="15" t="s">
        <v>19</v>
      </c>
      <c r="AB60" s="179">
        <v>0.21031</v>
      </c>
    </row>
    <row r="61" spans="2:28" x14ac:dyDescent="0.25">
      <c r="B61" s="6" t="s">
        <v>50</v>
      </c>
      <c r="C61" s="6" t="s">
        <v>19</v>
      </c>
      <c r="D61" s="178">
        <f t="shared" si="4"/>
        <v>0.77318900000000002</v>
      </c>
      <c r="H61" s="6" t="s">
        <v>50</v>
      </c>
      <c r="I61" s="6" t="s">
        <v>19</v>
      </c>
      <c r="J61" s="178">
        <v>0.78301200000000004</v>
      </c>
      <c r="N61" s="6" t="s">
        <v>50</v>
      </c>
      <c r="O61" s="6" t="s">
        <v>19</v>
      </c>
      <c r="P61" s="178">
        <v>0.807172</v>
      </c>
      <c r="T61" s="6" t="s">
        <v>50</v>
      </c>
      <c r="U61" s="6" t="s">
        <v>19</v>
      </c>
      <c r="V61" s="178">
        <v>0.784362</v>
      </c>
      <c r="Z61" s="6" t="s">
        <v>50</v>
      </c>
      <c r="AA61" s="6" t="s">
        <v>19</v>
      </c>
      <c r="AB61" s="178">
        <v>0.74349699999999996</v>
      </c>
    </row>
    <row r="62" spans="2:28" x14ac:dyDescent="0.25">
      <c r="B62" s="6" t="s">
        <v>51</v>
      </c>
      <c r="C62" s="6" t="s">
        <v>19</v>
      </c>
      <c r="D62" s="178">
        <f t="shared" si="4"/>
        <v>0.31758199999999998</v>
      </c>
      <c r="H62" s="6" t="s">
        <v>51</v>
      </c>
      <c r="I62" s="6" t="s">
        <v>19</v>
      </c>
      <c r="J62" s="178">
        <v>0.334144</v>
      </c>
      <c r="N62" s="6" t="s">
        <v>51</v>
      </c>
      <c r="O62" s="6" t="s">
        <v>19</v>
      </c>
      <c r="P62" s="178">
        <v>0.32750400000000002</v>
      </c>
      <c r="T62" s="6" t="s">
        <v>51</v>
      </c>
      <c r="U62" s="6" t="s">
        <v>19</v>
      </c>
      <c r="V62" s="178">
        <v>0.34865600000000002</v>
      </c>
      <c r="Z62" s="6" t="s">
        <v>51</v>
      </c>
      <c r="AA62" s="6" t="s">
        <v>19</v>
      </c>
      <c r="AB62" s="178">
        <v>0.36088399999999998</v>
      </c>
    </row>
    <row r="63" spans="2:28" x14ac:dyDescent="0.25">
      <c r="B63" s="6" t="s">
        <v>52</v>
      </c>
      <c r="C63" s="6" t="s">
        <v>19</v>
      </c>
      <c r="D63" s="178">
        <f t="shared" si="4"/>
        <v>0.210533</v>
      </c>
      <c r="H63" s="6" t="s">
        <v>52</v>
      </c>
      <c r="I63" s="6" t="s">
        <v>19</v>
      </c>
      <c r="J63" s="178">
        <v>0.22097600000000001</v>
      </c>
      <c r="N63" s="6" t="s">
        <v>52</v>
      </c>
      <c r="O63" s="6" t="s">
        <v>19</v>
      </c>
      <c r="P63" s="178">
        <v>0.23067599999999999</v>
      </c>
      <c r="T63" s="6" t="s">
        <v>52</v>
      </c>
      <c r="U63" s="6" t="s">
        <v>19</v>
      </c>
      <c r="V63" s="178">
        <v>0.25124200000000002</v>
      </c>
      <c r="Z63" s="6" t="s">
        <v>52</v>
      </c>
      <c r="AA63" s="6" t="s">
        <v>19</v>
      </c>
      <c r="AB63" s="178">
        <v>0.22461400000000001</v>
      </c>
    </row>
    <row r="64" spans="2:28" x14ac:dyDescent="0.25">
      <c r="B64" s="6" t="s">
        <v>53</v>
      </c>
      <c r="C64" s="6" t="s">
        <v>19</v>
      </c>
      <c r="D64" s="178">
        <f t="shared" si="4"/>
        <v>0.40818399999999999</v>
      </c>
      <c r="H64" s="6" t="s">
        <v>53</v>
      </c>
      <c r="I64" s="6" t="s">
        <v>19</v>
      </c>
      <c r="J64" s="178">
        <v>0.42753000000000002</v>
      </c>
      <c r="N64" s="6" t="s">
        <v>53</v>
      </c>
      <c r="O64" s="6" t="s">
        <v>19</v>
      </c>
      <c r="P64" s="178">
        <v>0.42669000000000001</v>
      </c>
      <c r="T64" s="6" t="s">
        <v>53</v>
      </c>
      <c r="U64" s="6" t="s">
        <v>19</v>
      </c>
      <c r="V64" s="178">
        <v>0.327762</v>
      </c>
      <c r="Z64" s="6" t="s">
        <v>53</v>
      </c>
      <c r="AA64" s="6" t="s">
        <v>19</v>
      </c>
      <c r="AB64" s="178">
        <v>0.23580100000000001</v>
      </c>
    </row>
    <row r="65" spans="2:28" x14ac:dyDescent="0.25">
      <c r="B65" s="15" t="s">
        <v>182</v>
      </c>
      <c r="C65" s="15" t="s">
        <v>19</v>
      </c>
      <c r="D65" s="179">
        <f t="shared" si="4"/>
        <v>0.54828600000000005</v>
      </c>
      <c r="H65" s="15" t="s">
        <v>182</v>
      </c>
      <c r="I65" s="15" t="s">
        <v>19</v>
      </c>
      <c r="J65" s="179">
        <v>0.54616200000000004</v>
      </c>
      <c r="N65" s="15" t="s">
        <v>182</v>
      </c>
      <c r="O65" s="15" t="s">
        <v>19</v>
      </c>
      <c r="P65" s="179">
        <v>0.54568099999999997</v>
      </c>
      <c r="T65" s="15" t="s">
        <v>182</v>
      </c>
      <c r="U65" s="15" t="s">
        <v>19</v>
      </c>
      <c r="V65" s="179">
        <v>0.57158799999999998</v>
      </c>
      <c r="Z65" s="15" t="s">
        <v>182</v>
      </c>
      <c r="AA65" s="15" t="s">
        <v>19</v>
      </c>
      <c r="AB65" s="179">
        <v>0.53242999999999996</v>
      </c>
    </row>
    <row r="66" spans="2:28" x14ac:dyDescent="0.25">
      <c r="B66" s="6" t="s">
        <v>183</v>
      </c>
      <c r="C66" s="6" t="s">
        <v>184</v>
      </c>
      <c r="D66" s="178">
        <f t="shared" si="4"/>
        <v>-27.591221000000001</v>
      </c>
      <c r="H66" s="6" t="s">
        <v>183</v>
      </c>
      <c r="I66" s="6" t="s">
        <v>184</v>
      </c>
      <c r="J66" s="178">
        <v>-42.182788000000002</v>
      </c>
      <c r="N66" s="6" t="s">
        <v>183</v>
      </c>
      <c r="O66" s="6" t="s">
        <v>184</v>
      </c>
      <c r="P66" s="178">
        <v>-33.689839999999997</v>
      </c>
      <c r="T66" s="6" t="s">
        <v>183</v>
      </c>
      <c r="U66" s="6" t="s">
        <v>184</v>
      </c>
      <c r="V66" s="178">
        <v>20.694635000000002</v>
      </c>
      <c r="Z66" s="6" t="s">
        <v>183</v>
      </c>
      <c r="AA66" s="6" t="s">
        <v>184</v>
      </c>
      <c r="AB66" s="178">
        <v>64.725273000000001</v>
      </c>
    </row>
    <row r="67" spans="2:28" x14ac:dyDescent="0.25">
      <c r="B67" s="6" t="s">
        <v>54</v>
      </c>
      <c r="C67" s="6" t="s">
        <v>19</v>
      </c>
      <c r="D67" s="178">
        <f t="shared" si="4"/>
        <v>1.0156620000000001</v>
      </c>
      <c r="H67" s="6" t="s">
        <v>54</v>
      </c>
      <c r="I67" s="6" t="s">
        <v>19</v>
      </c>
      <c r="J67" s="178">
        <v>0.98003600000000002</v>
      </c>
      <c r="N67" s="6" t="s">
        <v>54</v>
      </c>
      <c r="O67" s="6" t="s">
        <v>19</v>
      </c>
      <c r="P67" s="178">
        <v>0.97845599999999999</v>
      </c>
      <c r="T67" s="6" t="s">
        <v>54</v>
      </c>
      <c r="U67" s="6" t="s">
        <v>19</v>
      </c>
      <c r="V67" s="178">
        <v>0.94150100000000003</v>
      </c>
      <c r="Z67" s="6" t="s">
        <v>54</v>
      </c>
      <c r="AA67" s="6" t="s">
        <v>19</v>
      </c>
      <c r="AB67" s="178">
        <v>0.89396200000000003</v>
      </c>
    </row>
    <row r="68" spans="2:28" x14ac:dyDescent="0.25">
      <c r="B68" s="15" t="s">
        <v>55</v>
      </c>
      <c r="C68" s="15" t="s">
        <v>19</v>
      </c>
      <c r="D68" s="179">
        <f t="shared" si="4"/>
        <v>0.80564199999999997</v>
      </c>
      <c r="H68" s="15" t="s">
        <v>55</v>
      </c>
      <c r="I68" s="15" t="s">
        <v>19</v>
      </c>
      <c r="J68" s="179">
        <v>0.78029499999999996</v>
      </c>
      <c r="N68" s="15" t="s">
        <v>55</v>
      </c>
      <c r="O68" s="15" t="s">
        <v>19</v>
      </c>
      <c r="P68" s="179">
        <v>0.78107499999999996</v>
      </c>
      <c r="T68" s="15" t="s">
        <v>55</v>
      </c>
      <c r="U68" s="15" t="s">
        <v>19</v>
      </c>
      <c r="V68" s="179">
        <v>0.78076599999999996</v>
      </c>
      <c r="Z68" s="15" t="s">
        <v>55</v>
      </c>
      <c r="AA68" s="15" t="s">
        <v>19</v>
      </c>
      <c r="AB68" s="179">
        <v>0.78078700000000001</v>
      </c>
    </row>
    <row r="69" spans="2:28" x14ac:dyDescent="0.25">
      <c r="B69" s="15" t="s">
        <v>56</v>
      </c>
      <c r="C69" s="15" t="s">
        <v>46</v>
      </c>
      <c r="D69" s="179">
        <f t="shared" si="4"/>
        <v>0.36942999999999998</v>
      </c>
      <c r="H69" s="15" t="s">
        <v>56</v>
      </c>
      <c r="I69" s="15" t="s">
        <v>46</v>
      </c>
      <c r="J69" s="179">
        <v>0.38312200000000002</v>
      </c>
      <c r="N69" s="15" t="s">
        <v>56</v>
      </c>
      <c r="O69" s="15" t="s">
        <v>46</v>
      </c>
      <c r="P69" s="179">
        <v>0.38581199999999999</v>
      </c>
      <c r="T69" s="15" t="s">
        <v>56</v>
      </c>
      <c r="U69" s="15" t="s">
        <v>46</v>
      </c>
      <c r="V69" s="179">
        <v>0.29008499999999998</v>
      </c>
      <c r="Z69" s="15" t="s">
        <v>56</v>
      </c>
      <c r="AA69" s="15" t="s">
        <v>46</v>
      </c>
      <c r="AB69" s="179">
        <v>0.28717799999999999</v>
      </c>
    </row>
    <row r="70" spans="2:28" x14ac:dyDescent="0.25">
      <c r="B70" s="6" t="s">
        <v>57</v>
      </c>
      <c r="C70" s="6" t="s">
        <v>46</v>
      </c>
      <c r="D70" s="178">
        <f t="shared" si="4"/>
        <v>0.35148400000000002</v>
      </c>
      <c r="H70" s="6" t="s">
        <v>57</v>
      </c>
      <c r="I70" s="6" t="s">
        <v>46</v>
      </c>
      <c r="J70" s="178">
        <v>0.41345700000000002</v>
      </c>
      <c r="N70" s="6" t="s">
        <v>57</v>
      </c>
      <c r="O70" s="6" t="s">
        <v>46</v>
      </c>
      <c r="P70" s="178">
        <v>0.41888199999999998</v>
      </c>
      <c r="T70" s="6" t="s">
        <v>57</v>
      </c>
      <c r="U70" s="6" t="s">
        <v>46</v>
      </c>
      <c r="V70" s="178">
        <v>0.32488800000000001</v>
      </c>
      <c r="Z70" s="6" t="s">
        <v>57</v>
      </c>
      <c r="AA70" s="6" t="s">
        <v>46</v>
      </c>
      <c r="AB70" s="178">
        <v>0.29585299999999998</v>
      </c>
    </row>
    <row r="71" spans="2:28" x14ac:dyDescent="0.25">
      <c r="B71" s="15" t="s">
        <v>58</v>
      </c>
      <c r="C71" s="15" t="s">
        <v>46</v>
      </c>
      <c r="D71" s="179">
        <f t="shared" si="4"/>
        <v>0.72091400000000005</v>
      </c>
      <c r="H71" s="15" t="s">
        <v>58</v>
      </c>
      <c r="I71" s="15" t="s">
        <v>46</v>
      </c>
      <c r="J71" s="179">
        <v>0.79657800000000001</v>
      </c>
      <c r="N71" s="15" t="s">
        <v>58</v>
      </c>
      <c r="O71" s="15" t="s">
        <v>46</v>
      </c>
      <c r="P71" s="179">
        <v>0.80469400000000002</v>
      </c>
      <c r="T71" s="15" t="s">
        <v>58</v>
      </c>
      <c r="U71" s="15" t="s">
        <v>46</v>
      </c>
      <c r="V71" s="179">
        <v>0.61497299999999999</v>
      </c>
      <c r="Z71" s="15" t="s">
        <v>58</v>
      </c>
      <c r="AA71" s="15" t="s">
        <v>46</v>
      </c>
      <c r="AB71" s="179">
        <v>0.58303099999999997</v>
      </c>
    </row>
    <row r="72" spans="2:28" x14ac:dyDescent="0.25">
      <c r="B72" s="15" t="s">
        <v>59</v>
      </c>
      <c r="C72" s="15" t="s">
        <v>46</v>
      </c>
      <c r="D72" s="179">
        <f t="shared" si="4"/>
        <v>0.64937599999999995</v>
      </c>
      <c r="H72" s="15" t="s">
        <v>59</v>
      </c>
      <c r="I72" s="15" t="s">
        <v>46</v>
      </c>
      <c r="J72" s="179">
        <v>0.66186299999999998</v>
      </c>
      <c r="N72" s="15" t="s">
        <v>59</v>
      </c>
      <c r="O72" s="15" t="s">
        <v>46</v>
      </c>
      <c r="P72" s="179">
        <v>0.66261000000000003</v>
      </c>
      <c r="T72" s="15" t="s">
        <v>59</v>
      </c>
      <c r="U72" s="15" t="s">
        <v>46</v>
      </c>
      <c r="V72" s="179">
        <v>0.63978800000000002</v>
      </c>
      <c r="Z72" s="15" t="s">
        <v>59</v>
      </c>
      <c r="AA72" s="15" t="s">
        <v>46</v>
      </c>
      <c r="AB72" s="179">
        <v>0.64112599999999997</v>
      </c>
    </row>
    <row r="73" spans="2:28" x14ac:dyDescent="0.25">
      <c r="B73" s="15" t="s">
        <v>60</v>
      </c>
      <c r="C73" s="15" t="s">
        <v>46</v>
      </c>
      <c r="D73" s="179">
        <f t="shared" si="4"/>
        <v>0.18773699999999999</v>
      </c>
      <c r="H73" s="15" t="s">
        <v>60</v>
      </c>
      <c r="I73" s="15" t="s">
        <v>46</v>
      </c>
      <c r="J73" s="179">
        <v>0.21410599999999999</v>
      </c>
      <c r="N73" s="15" t="s">
        <v>60</v>
      </c>
      <c r="O73" s="15" t="s">
        <v>46</v>
      </c>
      <c r="P73" s="179">
        <v>0.21778500000000001</v>
      </c>
      <c r="T73" s="15" t="s">
        <v>60</v>
      </c>
      <c r="U73" s="15" t="s">
        <v>46</v>
      </c>
      <c r="V73" s="179">
        <v>0.188419</v>
      </c>
      <c r="Z73" s="15" t="s">
        <v>60</v>
      </c>
      <c r="AA73" s="15" t="s">
        <v>46</v>
      </c>
      <c r="AB73" s="179">
        <v>0.18860399999999999</v>
      </c>
    </row>
    <row r="74" spans="2:28" x14ac:dyDescent="0.25">
      <c r="B74" s="15" t="s">
        <v>61</v>
      </c>
      <c r="C74" s="15" t="s">
        <v>46</v>
      </c>
      <c r="D74" s="179">
        <f t="shared" si="4"/>
        <v>0.68507799999999996</v>
      </c>
      <c r="H74" s="15" t="s">
        <v>61</v>
      </c>
      <c r="I74" s="15" t="s">
        <v>46</v>
      </c>
      <c r="J74" s="179">
        <v>0.73328700000000002</v>
      </c>
      <c r="N74" s="15" t="s">
        <v>61</v>
      </c>
      <c r="O74" s="15" t="s">
        <v>46</v>
      </c>
      <c r="P74" s="179">
        <v>0.73987800000000004</v>
      </c>
      <c r="T74" s="15" t="s">
        <v>61</v>
      </c>
      <c r="U74" s="15" t="s">
        <v>46</v>
      </c>
      <c r="V74" s="179">
        <v>0.68283799999999995</v>
      </c>
      <c r="Z74" s="15" t="s">
        <v>61</v>
      </c>
      <c r="AA74" s="15" t="s">
        <v>46</v>
      </c>
      <c r="AB74" s="179">
        <v>0.59665599999999996</v>
      </c>
    </row>
    <row r="75" spans="2:28" x14ac:dyDescent="0.25">
      <c r="B75" s="15" t="s">
        <v>62</v>
      </c>
      <c r="C75" s="15" t="s">
        <v>46</v>
      </c>
      <c r="D75" s="179">
        <f t="shared" si="4"/>
        <v>0.87272300000000003</v>
      </c>
      <c r="H75" s="15" t="s">
        <v>62</v>
      </c>
      <c r="I75" s="15" t="s">
        <v>46</v>
      </c>
      <c r="J75" s="179">
        <v>0.92839799999999995</v>
      </c>
      <c r="N75" s="15" t="s">
        <v>62</v>
      </c>
      <c r="O75" s="15" t="s">
        <v>46</v>
      </c>
      <c r="P75" s="179">
        <v>0.93586899999999995</v>
      </c>
      <c r="T75" s="15" t="s">
        <v>62</v>
      </c>
      <c r="U75" s="15" t="s">
        <v>46</v>
      </c>
      <c r="V75" s="179">
        <v>0.85700100000000001</v>
      </c>
      <c r="Z75" s="15" t="s">
        <v>62</v>
      </c>
      <c r="AA75" s="15" t="s">
        <v>46</v>
      </c>
      <c r="AB75" s="179">
        <v>0.73291399999999995</v>
      </c>
    </row>
    <row r="76" spans="2:28" x14ac:dyDescent="0.25">
      <c r="B76" s="6" t="s">
        <v>63</v>
      </c>
      <c r="C76" s="6" t="s">
        <v>46</v>
      </c>
      <c r="D76" s="178">
        <f t="shared" si="4"/>
        <v>1.835351</v>
      </c>
      <c r="H76" s="6" t="s">
        <v>63</v>
      </c>
      <c r="I76" s="6" t="s">
        <v>46</v>
      </c>
      <c r="J76" s="178">
        <v>1.6870750000000001</v>
      </c>
      <c r="N76" s="6" t="s">
        <v>63</v>
      </c>
      <c r="O76" s="6" t="s">
        <v>46</v>
      </c>
      <c r="P76" s="178">
        <v>1.7005749999999999</v>
      </c>
      <c r="T76" s="6" t="s">
        <v>63</v>
      </c>
      <c r="U76" s="6" t="s">
        <v>46</v>
      </c>
      <c r="V76" s="178">
        <v>1.591629</v>
      </c>
      <c r="Z76" s="6" t="s">
        <v>63</v>
      </c>
      <c r="AA76" s="6" t="s">
        <v>46</v>
      </c>
      <c r="AB76" s="178">
        <v>1.127427</v>
      </c>
    </row>
    <row r="77" spans="2:28" x14ac:dyDescent="0.25">
      <c r="B77" s="6" t="s">
        <v>64</v>
      </c>
      <c r="C77" s="6" t="s">
        <v>46</v>
      </c>
      <c r="D77" s="178">
        <f t="shared" si="4"/>
        <v>1.041221</v>
      </c>
      <c r="H77" s="6" t="s">
        <v>64</v>
      </c>
      <c r="I77" s="6" t="s">
        <v>46</v>
      </c>
      <c r="J77" s="178">
        <v>1.0873299999999999</v>
      </c>
      <c r="N77" s="6" t="s">
        <v>64</v>
      </c>
      <c r="O77" s="6" t="s">
        <v>46</v>
      </c>
      <c r="P77" s="178">
        <v>1.1109279999999999</v>
      </c>
      <c r="T77" s="6" t="s">
        <v>64</v>
      </c>
      <c r="U77" s="6" t="s">
        <v>46</v>
      </c>
      <c r="V77" s="178">
        <v>1.18591</v>
      </c>
      <c r="Z77" s="6" t="s">
        <v>64</v>
      </c>
      <c r="AA77" s="6" t="s">
        <v>46</v>
      </c>
      <c r="AB77" s="178">
        <v>1.166015</v>
      </c>
    </row>
    <row r="78" spans="2:28" x14ac:dyDescent="0.25">
      <c r="B78" s="6" t="s">
        <v>65</v>
      </c>
      <c r="C78" s="6" t="s">
        <v>46</v>
      </c>
      <c r="D78" s="178">
        <f t="shared" si="4"/>
        <v>0.51120699999999997</v>
      </c>
      <c r="H78" s="6" t="s">
        <v>65</v>
      </c>
      <c r="I78" s="6" t="s">
        <v>46</v>
      </c>
      <c r="J78" s="178">
        <v>0.51271599999999995</v>
      </c>
      <c r="N78" s="6" t="s">
        <v>65</v>
      </c>
      <c r="O78" s="6" t="s">
        <v>46</v>
      </c>
      <c r="P78" s="178">
        <v>0.52152500000000002</v>
      </c>
      <c r="T78" s="6" t="s">
        <v>65</v>
      </c>
      <c r="U78" s="6" t="s">
        <v>46</v>
      </c>
      <c r="V78" s="178">
        <v>0.47842299999999999</v>
      </c>
      <c r="Z78" s="6" t="s">
        <v>65</v>
      </c>
      <c r="AA78" s="6" t="s">
        <v>46</v>
      </c>
      <c r="AB78" s="178">
        <v>0.41492600000000002</v>
      </c>
    </row>
    <row r="79" spans="2:28" x14ac:dyDescent="0.25">
      <c r="B79" s="6" t="s">
        <v>66</v>
      </c>
      <c r="C79" s="6" t="s">
        <v>46</v>
      </c>
      <c r="D79" s="178">
        <f t="shared" si="4"/>
        <v>0.85421599999999998</v>
      </c>
      <c r="H79" s="6" t="s">
        <v>66</v>
      </c>
      <c r="I79" s="6" t="s">
        <v>46</v>
      </c>
      <c r="J79" s="178">
        <v>0.92691599999999996</v>
      </c>
      <c r="N79" s="6" t="s">
        <v>66</v>
      </c>
      <c r="O79" s="6" t="s">
        <v>46</v>
      </c>
      <c r="P79" s="178">
        <v>0.93400499999999997</v>
      </c>
      <c r="T79" s="6" t="s">
        <v>66</v>
      </c>
      <c r="U79" s="6" t="s">
        <v>46</v>
      </c>
      <c r="V79" s="178">
        <v>0.87179899999999999</v>
      </c>
      <c r="Z79" s="6" t="s">
        <v>66</v>
      </c>
      <c r="AA79" s="6" t="s">
        <v>46</v>
      </c>
      <c r="AB79" s="178">
        <v>0.73874499999999999</v>
      </c>
    </row>
    <row r="80" spans="2:28" x14ac:dyDescent="0.25">
      <c r="B80" s="6" t="s">
        <v>67</v>
      </c>
      <c r="C80" s="6" t="s">
        <v>46</v>
      </c>
      <c r="D80" s="178">
        <f t="shared" si="4"/>
        <v>0.62818600000000002</v>
      </c>
      <c r="H80" s="6" t="s">
        <v>67</v>
      </c>
      <c r="I80" s="6" t="s">
        <v>46</v>
      </c>
      <c r="J80" s="178">
        <v>0.66544300000000001</v>
      </c>
      <c r="N80" s="6" t="s">
        <v>67</v>
      </c>
      <c r="O80" s="6" t="s">
        <v>46</v>
      </c>
      <c r="P80" s="178">
        <v>0.674099</v>
      </c>
      <c r="T80" s="6" t="s">
        <v>67</v>
      </c>
      <c r="U80" s="6" t="s">
        <v>46</v>
      </c>
      <c r="V80" s="178">
        <v>0.62908200000000003</v>
      </c>
      <c r="Z80" s="6" t="s">
        <v>67</v>
      </c>
      <c r="AA80" s="6" t="s">
        <v>46</v>
      </c>
      <c r="AB80" s="178">
        <v>0.48520400000000002</v>
      </c>
    </row>
    <row r="81" spans="2:28" x14ac:dyDescent="0.25">
      <c r="B81" s="6" t="s">
        <v>68</v>
      </c>
      <c r="C81" s="6" t="s">
        <v>46</v>
      </c>
      <c r="D81" s="178">
        <f t="shared" si="4"/>
        <v>1.482402</v>
      </c>
      <c r="H81" s="6" t="s">
        <v>68</v>
      </c>
      <c r="I81" s="6" t="s">
        <v>46</v>
      </c>
      <c r="J81" s="178">
        <v>1.59236</v>
      </c>
      <c r="N81" s="6" t="s">
        <v>68</v>
      </c>
      <c r="O81" s="6" t="s">
        <v>46</v>
      </c>
      <c r="P81" s="178">
        <v>1.6081049999999999</v>
      </c>
      <c r="T81" s="6" t="s">
        <v>68</v>
      </c>
      <c r="U81" s="6" t="s">
        <v>46</v>
      </c>
      <c r="V81" s="178">
        <v>1.50088</v>
      </c>
      <c r="Z81" s="6" t="s">
        <v>68</v>
      </c>
      <c r="AA81" s="6" t="s">
        <v>46</v>
      </c>
      <c r="AB81" s="178">
        <v>1.223948</v>
      </c>
    </row>
    <row r="82" spans="2:28" x14ac:dyDescent="0.25">
      <c r="B82" s="6" t="s">
        <v>69</v>
      </c>
      <c r="C82" s="6" t="s">
        <v>70</v>
      </c>
      <c r="D82" s="178">
        <f t="shared" si="4"/>
        <v>8.0564160000000005</v>
      </c>
      <c r="H82" s="6" t="s">
        <v>69</v>
      </c>
      <c r="I82" s="6" t="s">
        <v>70</v>
      </c>
      <c r="J82" s="178">
        <v>7.8029479999999998</v>
      </c>
      <c r="N82" s="6" t="s">
        <v>69</v>
      </c>
      <c r="O82" s="6" t="s">
        <v>70</v>
      </c>
      <c r="P82" s="178">
        <v>7.8107480000000002</v>
      </c>
      <c r="T82" s="6" t="s">
        <v>69</v>
      </c>
      <c r="U82" s="6" t="s">
        <v>70</v>
      </c>
      <c r="V82" s="178">
        <v>7.8076590000000001</v>
      </c>
      <c r="Z82" s="6" t="s">
        <v>69</v>
      </c>
      <c r="AA82" s="6" t="s">
        <v>70</v>
      </c>
      <c r="AB82" s="178">
        <v>7.8078719999999997</v>
      </c>
    </row>
    <row r="83" spans="2:28" x14ac:dyDescent="0.25">
      <c r="B83" s="15" t="s">
        <v>71</v>
      </c>
      <c r="C83" s="15" t="s">
        <v>72</v>
      </c>
      <c r="D83" s="179">
        <f t="shared" si="4"/>
        <v>3.4688780000000001</v>
      </c>
      <c r="H83" s="15" t="s">
        <v>71</v>
      </c>
      <c r="I83" s="15" t="s">
        <v>72</v>
      </c>
      <c r="J83" s="179">
        <v>3.468343</v>
      </c>
      <c r="N83" s="15" t="s">
        <v>71</v>
      </c>
      <c r="O83" s="15" t="s">
        <v>72</v>
      </c>
      <c r="P83" s="179">
        <v>3.472032</v>
      </c>
      <c r="T83" s="15" t="s">
        <v>71</v>
      </c>
      <c r="U83" s="15" t="s">
        <v>72</v>
      </c>
      <c r="V83" s="179">
        <v>3.4701620000000002</v>
      </c>
      <c r="Z83" s="15" t="s">
        <v>71</v>
      </c>
      <c r="AA83" s="15" t="s">
        <v>72</v>
      </c>
      <c r="AB83" s="179">
        <v>3.4695299999999998</v>
      </c>
    </row>
    <row r="84" spans="2:28" x14ac:dyDescent="0.25">
      <c r="B84" s="18" t="s">
        <v>73</v>
      </c>
      <c r="C84" s="18" t="s">
        <v>72</v>
      </c>
      <c r="D84" s="180">
        <f t="shared" si="4"/>
        <v>3.3349899999999999</v>
      </c>
      <c r="H84" s="18" t="s">
        <v>73</v>
      </c>
      <c r="I84" s="18" t="s">
        <v>72</v>
      </c>
      <c r="J84" s="180">
        <v>3.3754390000000001</v>
      </c>
      <c r="N84" s="18" t="s">
        <v>73</v>
      </c>
      <c r="O84" s="18" t="s">
        <v>72</v>
      </c>
      <c r="P84" s="180">
        <v>3.3766889999999998</v>
      </c>
      <c r="T84" s="18" t="s">
        <v>73</v>
      </c>
      <c r="U84" s="18" t="s">
        <v>72</v>
      </c>
      <c r="V84" s="180">
        <v>3.3758270000000001</v>
      </c>
      <c r="Z84" s="18" t="s">
        <v>73</v>
      </c>
      <c r="AA84" s="18" t="s">
        <v>72</v>
      </c>
      <c r="AB84" s="180">
        <v>3.392423</v>
      </c>
    </row>
    <row r="85" spans="2:28" x14ac:dyDescent="0.25">
      <c r="B85" s="6" t="s">
        <v>74</v>
      </c>
      <c r="C85" s="6" t="s">
        <v>19</v>
      </c>
      <c r="D85" s="178">
        <f t="shared" si="4"/>
        <v>0.297628</v>
      </c>
      <c r="H85" s="6" t="s">
        <v>74</v>
      </c>
      <c r="I85" s="6" t="s">
        <v>19</v>
      </c>
      <c r="J85" s="178">
        <v>0.29894799999999999</v>
      </c>
      <c r="N85" s="6" t="s">
        <v>74</v>
      </c>
      <c r="O85" s="6" t="s">
        <v>19</v>
      </c>
      <c r="P85" s="178">
        <v>0.301348</v>
      </c>
      <c r="T85" s="6" t="s">
        <v>74</v>
      </c>
      <c r="U85" s="6" t="s">
        <v>19</v>
      </c>
      <c r="V85" s="178">
        <v>0.22648799999999999</v>
      </c>
      <c r="Z85" s="6" t="s">
        <v>74</v>
      </c>
      <c r="AA85" s="6" t="s">
        <v>19</v>
      </c>
      <c r="AB85" s="178">
        <v>0.22422500000000001</v>
      </c>
    </row>
    <row r="86" spans="2:28" x14ac:dyDescent="0.25">
      <c r="B86" s="6" t="s">
        <v>75</v>
      </c>
      <c r="C86" s="6" t="s">
        <v>19</v>
      </c>
      <c r="D86" s="178">
        <f t="shared" si="4"/>
        <v>0.28316999999999998</v>
      </c>
      <c r="H86" s="6" t="s">
        <v>75</v>
      </c>
      <c r="I86" s="6" t="s">
        <v>19</v>
      </c>
      <c r="J86" s="178">
        <v>0.32261800000000002</v>
      </c>
      <c r="N86" s="6" t="s">
        <v>75</v>
      </c>
      <c r="O86" s="6" t="s">
        <v>19</v>
      </c>
      <c r="P86" s="178">
        <v>0.32717800000000002</v>
      </c>
      <c r="T86" s="6" t="s">
        <v>75</v>
      </c>
      <c r="U86" s="6" t="s">
        <v>19</v>
      </c>
      <c r="V86" s="178">
        <v>0.25366100000000003</v>
      </c>
      <c r="Z86" s="6" t="s">
        <v>75</v>
      </c>
      <c r="AA86" s="6" t="s">
        <v>19</v>
      </c>
      <c r="AB86" s="178">
        <v>0.23099900000000001</v>
      </c>
    </row>
    <row r="87" spans="2:28" x14ac:dyDescent="0.25">
      <c r="B87" s="6" t="s">
        <v>76</v>
      </c>
      <c r="C87" s="6" t="s">
        <v>19</v>
      </c>
      <c r="D87" s="178">
        <f t="shared" si="4"/>
        <v>0.58079800000000004</v>
      </c>
      <c r="H87" s="6" t="s">
        <v>76</v>
      </c>
      <c r="I87" s="6" t="s">
        <v>19</v>
      </c>
      <c r="J87" s="178">
        <v>0.62156599999999995</v>
      </c>
      <c r="N87" s="6" t="s">
        <v>76</v>
      </c>
      <c r="O87" s="6" t="s">
        <v>19</v>
      </c>
      <c r="P87" s="178">
        <v>0.62852600000000003</v>
      </c>
      <c r="T87" s="6" t="s">
        <v>76</v>
      </c>
      <c r="U87" s="6" t="s">
        <v>19</v>
      </c>
      <c r="V87" s="178">
        <v>0.48015000000000002</v>
      </c>
      <c r="Z87" s="6" t="s">
        <v>76</v>
      </c>
      <c r="AA87" s="6" t="s">
        <v>19</v>
      </c>
      <c r="AB87" s="178">
        <v>0.45522299999999999</v>
      </c>
    </row>
    <row r="88" spans="2:28" x14ac:dyDescent="0.25">
      <c r="B88" s="6" t="s">
        <v>77</v>
      </c>
      <c r="C88" s="6" t="s">
        <v>19</v>
      </c>
      <c r="D88" s="178">
        <f t="shared" si="4"/>
        <v>0.52316399999999996</v>
      </c>
      <c r="H88" s="6" t="s">
        <v>77</v>
      </c>
      <c r="I88" s="6" t="s">
        <v>19</v>
      </c>
      <c r="J88" s="178">
        <v>0.51644800000000002</v>
      </c>
      <c r="N88" s="6" t="s">
        <v>77</v>
      </c>
      <c r="O88" s="6" t="s">
        <v>19</v>
      </c>
      <c r="P88" s="178">
        <v>0.51754800000000001</v>
      </c>
      <c r="T88" s="6" t="s">
        <v>77</v>
      </c>
      <c r="U88" s="6" t="s">
        <v>19</v>
      </c>
      <c r="V88" s="178">
        <v>0.49952400000000002</v>
      </c>
      <c r="Z88" s="6" t="s">
        <v>77</v>
      </c>
      <c r="AA88" s="6" t="s">
        <v>19</v>
      </c>
      <c r="AB88" s="178">
        <v>0.500583</v>
      </c>
    </row>
    <row r="89" spans="2:28" x14ac:dyDescent="0.25">
      <c r="B89" s="6" t="s">
        <v>78</v>
      </c>
      <c r="C89" s="6" t="s">
        <v>19</v>
      </c>
      <c r="D89" s="178">
        <f t="shared" si="4"/>
        <v>0.15124899999999999</v>
      </c>
      <c r="H89" s="6" t="s">
        <v>78</v>
      </c>
      <c r="I89" s="6" t="s">
        <v>19</v>
      </c>
      <c r="J89" s="178">
        <v>0.16706599999999999</v>
      </c>
      <c r="N89" s="6" t="s">
        <v>78</v>
      </c>
      <c r="O89" s="6" t="s">
        <v>19</v>
      </c>
      <c r="P89" s="178">
        <v>0.17010600000000001</v>
      </c>
      <c r="T89" s="6" t="s">
        <v>78</v>
      </c>
      <c r="U89" s="6" t="s">
        <v>19</v>
      </c>
      <c r="V89" s="178">
        <v>0.14711099999999999</v>
      </c>
      <c r="Z89" s="6" t="s">
        <v>78</v>
      </c>
      <c r="AA89" s="6" t="s">
        <v>19</v>
      </c>
      <c r="AB89" s="178">
        <v>0.14726</v>
      </c>
    </row>
    <row r="90" spans="2:28" x14ac:dyDescent="0.25">
      <c r="B90" s="6" t="s">
        <v>79</v>
      </c>
      <c r="C90" s="6" t="s">
        <v>19</v>
      </c>
      <c r="D90" s="178">
        <f t="shared" ref="D90:D121" si="5">IFERROR(VLOOKUP(B90,raw_2,10,FALSE),0)</f>
        <v>0.55192699999999995</v>
      </c>
      <c r="H90" s="6" t="s">
        <v>79</v>
      </c>
      <c r="I90" s="6" t="s">
        <v>19</v>
      </c>
      <c r="J90" s="178">
        <v>0.57218000000000002</v>
      </c>
      <c r="N90" s="6" t="s">
        <v>79</v>
      </c>
      <c r="O90" s="6" t="s">
        <v>19</v>
      </c>
      <c r="P90" s="178">
        <v>0.57789999999999997</v>
      </c>
      <c r="T90" s="6" t="s">
        <v>79</v>
      </c>
      <c r="U90" s="6" t="s">
        <v>19</v>
      </c>
      <c r="V90" s="178">
        <v>0.53313699999999997</v>
      </c>
      <c r="Z90" s="6" t="s">
        <v>79</v>
      </c>
      <c r="AA90" s="6" t="s">
        <v>19</v>
      </c>
      <c r="AB90" s="178">
        <v>0.46586100000000003</v>
      </c>
    </row>
    <row r="91" spans="2:28" x14ac:dyDescent="0.25">
      <c r="B91" s="6" t="s">
        <v>80</v>
      </c>
      <c r="C91" s="6" t="s">
        <v>19</v>
      </c>
      <c r="D91" s="178">
        <f t="shared" si="5"/>
        <v>0.703102</v>
      </c>
      <c r="H91" s="6" t="s">
        <v>80</v>
      </c>
      <c r="I91" s="6" t="s">
        <v>19</v>
      </c>
      <c r="J91" s="178">
        <v>0.72442399999999996</v>
      </c>
      <c r="N91" s="6" t="s">
        <v>80</v>
      </c>
      <c r="O91" s="6" t="s">
        <v>19</v>
      </c>
      <c r="P91" s="178">
        <v>0.73098399999999997</v>
      </c>
      <c r="T91" s="6" t="s">
        <v>80</v>
      </c>
      <c r="U91" s="6" t="s">
        <v>19</v>
      </c>
      <c r="V91" s="178">
        <v>0.66911699999999996</v>
      </c>
      <c r="Z91" s="6" t="s">
        <v>80</v>
      </c>
      <c r="AA91" s="6" t="s">
        <v>19</v>
      </c>
      <c r="AB91" s="178">
        <v>0.57225000000000004</v>
      </c>
    </row>
    <row r="92" spans="2:28" x14ac:dyDescent="0.25">
      <c r="B92" s="6" t="s">
        <v>81</v>
      </c>
      <c r="C92" s="6" t="s">
        <v>19</v>
      </c>
      <c r="D92" s="178">
        <f t="shared" si="5"/>
        <v>1.4786349999999999</v>
      </c>
      <c r="H92" s="6" t="s">
        <v>81</v>
      </c>
      <c r="I92" s="6" t="s">
        <v>19</v>
      </c>
      <c r="J92" s="178">
        <v>1.316416</v>
      </c>
      <c r="N92" s="6" t="s">
        <v>81</v>
      </c>
      <c r="O92" s="6" t="s">
        <v>19</v>
      </c>
      <c r="P92" s="178">
        <v>1.328276</v>
      </c>
      <c r="T92" s="6" t="s">
        <v>81</v>
      </c>
      <c r="U92" s="6" t="s">
        <v>19</v>
      </c>
      <c r="V92" s="178">
        <v>1.2426900000000001</v>
      </c>
      <c r="Z92" s="6" t="s">
        <v>81</v>
      </c>
      <c r="AA92" s="6" t="s">
        <v>19</v>
      </c>
      <c r="AB92" s="178">
        <v>0.88027999999999995</v>
      </c>
    </row>
    <row r="93" spans="2:28" x14ac:dyDescent="0.25">
      <c r="B93" s="6" t="s">
        <v>185</v>
      </c>
      <c r="C93" s="6" t="s">
        <v>19</v>
      </c>
      <c r="D93" s="178">
        <f t="shared" si="5"/>
        <v>0.83885100000000001</v>
      </c>
      <c r="H93" s="6" t="s">
        <v>185</v>
      </c>
      <c r="I93" s="6" t="s">
        <v>19</v>
      </c>
      <c r="J93" s="178">
        <v>0.84843800000000003</v>
      </c>
      <c r="N93" s="6" t="s">
        <v>185</v>
      </c>
      <c r="O93" s="6" t="s">
        <v>19</v>
      </c>
      <c r="P93" s="178">
        <v>0.86771799999999999</v>
      </c>
      <c r="T93" s="6" t="s">
        <v>185</v>
      </c>
      <c r="U93" s="6" t="s">
        <v>19</v>
      </c>
      <c r="V93" s="178">
        <v>0.92591800000000002</v>
      </c>
      <c r="Z93" s="6" t="s">
        <v>185</v>
      </c>
      <c r="AA93" s="6" t="s">
        <v>19</v>
      </c>
      <c r="AB93" s="178">
        <v>0.91040900000000002</v>
      </c>
    </row>
    <row r="94" spans="2:28" x14ac:dyDescent="0.25">
      <c r="B94" s="6" t="s">
        <v>186</v>
      </c>
      <c r="C94" s="6" t="s">
        <v>19</v>
      </c>
      <c r="D94" s="178">
        <f t="shared" si="5"/>
        <v>0.41184999999999999</v>
      </c>
      <c r="H94" s="6" t="s">
        <v>186</v>
      </c>
      <c r="I94" s="6" t="s">
        <v>19</v>
      </c>
      <c r="J94" s="178">
        <v>0.40006999999999998</v>
      </c>
      <c r="N94" s="6" t="s">
        <v>186</v>
      </c>
      <c r="O94" s="6" t="s">
        <v>19</v>
      </c>
      <c r="P94" s="178">
        <v>0.40734999999999999</v>
      </c>
      <c r="T94" s="6" t="s">
        <v>186</v>
      </c>
      <c r="U94" s="6" t="s">
        <v>19</v>
      </c>
      <c r="V94" s="178">
        <v>0.37353700000000001</v>
      </c>
      <c r="Z94" s="6" t="s">
        <v>186</v>
      </c>
      <c r="AA94" s="6" t="s">
        <v>19</v>
      </c>
      <c r="AB94" s="178">
        <v>0.32396900000000001</v>
      </c>
    </row>
    <row r="95" spans="2:28" x14ac:dyDescent="0.25">
      <c r="B95" s="6" t="s">
        <v>187</v>
      </c>
      <c r="C95" s="6" t="s">
        <v>19</v>
      </c>
      <c r="D95" s="178">
        <f t="shared" si="5"/>
        <v>0.68819200000000003</v>
      </c>
      <c r="H95" s="6" t="s">
        <v>187</v>
      </c>
      <c r="I95" s="6" t="s">
        <v>19</v>
      </c>
      <c r="J95" s="178">
        <v>0.72326800000000002</v>
      </c>
      <c r="N95" s="6" t="s">
        <v>187</v>
      </c>
      <c r="O95" s="6" t="s">
        <v>19</v>
      </c>
      <c r="P95" s="178">
        <v>0.72952799999999995</v>
      </c>
      <c r="T95" s="6" t="s">
        <v>187</v>
      </c>
      <c r="U95" s="6" t="s">
        <v>19</v>
      </c>
      <c r="V95" s="178">
        <v>0.68067100000000003</v>
      </c>
      <c r="Z95" s="6" t="s">
        <v>187</v>
      </c>
      <c r="AA95" s="6" t="s">
        <v>19</v>
      </c>
      <c r="AB95" s="178">
        <v>0.57680299999999995</v>
      </c>
    </row>
    <row r="96" spans="2:28" x14ac:dyDescent="0.25">
      <c r="B96" s="6" t="s">
        <v>188</v>
      </c>
      <c r="C96" s="6" t="s">
        <v>19</v>
      </c>
      <c r="D96" s="178">
        <f t="shared" si="5"/>
        <v>0.50609300000000002</v>
      </c>
      <c r="H96" s="6" t="s">
        <v>188</v>
      </c>
      <c r="I96" s="6" t="s">
        <v>19</v>
      </c>
      <c r="J96" s="178">
        <v>0.51924199999999998</v>
      </c>
      <c r="N96" s="6" t="s">
        <v>188</v>
      </c>
      <c r="O96" s="6" t="s">
        <v>19</v>
      </c>
      <c r="P96" s="178">
        <v>0.52652200000000005</v>
      </c>
      <c r="T96" s="6" t="s">
        <v>188</v>
      </c>
      <c r="U96" s="6" t="s">
        <v>19</v>
      </c>
      <c r="V96" s="178">
        <v>0.49116599999999999</v>
      </c>
      <c r="Z96" s="6" t="s">
        <v>188</v>
      </c>
      <c r="AA96" s="6" t="s">
        <v>19</v>
      </c>
      <c r="AB96" s="178">
        <v>0.37884099999999998</v>
      </c>
    </row>
    <row r="97" spans="2:28" x14ac:dyDescent="0.25">
      <c r="B97" s="6" t="s">
        <v>189</v>
      </c>
      <c r="C97" s="6" t="s">
        <v>19</v>
      </c>
      <c r="D97" s="178">
        <f t="shared" si="5"/>
        <v>1.194285</v>
      </c>
      <c r="H97" s="6" t="s">
        <v>189</v>
      </c>
      <c r="I97" s="6" t="s">
        <v>19</v>
      </c>
      <c r="J97" s="178">
        <v>1.24251</v>
      </c>
      <c r="N97" s="6" t="s">
        <v>189</v>
      </c>
      <c r="O97" s="6" t="s">
        <v>19</v>
      </c>
      <c r="P97" s="178">
        <v>1.2560500000000001</v>
      </c>
      <c r="T97" s="6" t="s">
        <v>189</v>
      </c>
      <c r="U97" s="6" t="s">
        <v>19</v>
      </c>
      <c r="V97" s="178">
        <v>1.1718360000000001</v>
      </c>
      <c r="Z97" s="6" t="s">
        <v>189</v>
      </c>
      <c r="AA97" s="6" t="s">
        <v>19</v>
      </c>
      <c r="AB97" s="178">
        <v>0.95564300000000002</v>
      </c>
    </row>
    <row r="98" spans="2:28" x14ac:dyDescent="0.25">
      <c r="B98" s="6" t="s">
        <v>82</v>
      </c>
      <c r="C98" s="6" t="s">
        <v>83</v>
      </c>
      <c r="D98" s="184">
        <f t="shared" si="5"/>
        <v>100</v>
      </c>
      <c r="H98" s="6" t="s">
        <v>82</v>
      </c>
      <c r="I98" s="6" t="s">
        <v>83</v>
      </c>
      <c r="J98" s="184">
        <v>100</v>
      </c>
      <c r="N98" s="6" t="s">
        <v>82</v>
      </c>
      <c r="O98" s="6" t="s">
        <v>83</v>
      </c>
      <c r="P98" s="184">
        <v>100</v>
      </c>
      <c r="T98" s="6" t="s">
        <v>82</v>
      </c>
      <c r="U98" s="6" t="s">
        <v>83</v>
      </c>
      <c r="V98" s="184">
        <v>100</v>
      </c>
      <c r="Z98" s="6" t="s">
        <v>82</v>
      </c>
      <c r="AA98" s="6" t="s">
        <v>83</v>
      </c>
      <c r="AB98" s="184">
        <v>100</v>
      </c>
    </row>
    <row r="99" spans="2:28" x14ac:dyDescent="0.25">
      <c r="B99" s="6" t="s">
        <v>84</v>
      </c>
      <c r="C99" s="6" t="s">
        <v>83</v>
      </c>
      <c r="D99" s="184">
        <f t="shared" si="5"/>
        <v>115.8</v>
      </c>
      <c r="H99" s="6" t="s">
        <v>84</v>
      </c>
      <c r="I99" s="6" t="s">
        <v>83</v>
      </c>
      <c r="J99" s="184">
        <v>115.8</v>
      </c>
      <c r="N99" s="6" t="s">
        <v>84</v>
      </c>
      <c r="O99" s="6" t="s">
        <v>83</v>
      </c>
      <c r="P99" s="184">
        <v>115.8</v>
      </c>
      <c r="T99" s="6" t="s">
        <v>84</v>
      </c>
      <c r="U99" s="6" t="s">
        <v>83</v>
      </c>
      <c r="V99" s="184">
        <v>115.8</v>
      </c>
      <c r="Z99" s="6" t="s">
        <v>84</v>
      </c>
      <c r="AA99" s="6" t="s">
        <v>83</v>
      </c>
      <c r="AB99" s="184">
        <v>115.8</v>
      </c>
    </row>
    <row r="100" spans="2:28" x14ac:dyDescent="0.25">
      <c r="B100" s="6" t="s">
        <v>85</v>
      </c>
      <c r="C100" s="6" t="s">
        <v>83</v>
      </c>
      <c r="D100" s="184">
        <f t="shared" si="5"/>
        <v>100</v>
      </c>
      <c r="H100" s="6" t="s">
        <v>85</v>
      </c>
      <c r="I100" s="6" t="s">
        <v>83</v>
      </c>
      <c r="J100" s="184">
        <v>100</v>
      </c>
      <c r="N100" s="6" t="s">
        <v>85</v>
      </c>
      <c r="O100" s="6" t="s">
        <v>83</v>
      </c>
      <c r="P100" s="184">
        <v>100</v>
      </c>
      <c r="T100" s="6" t="s">
        <v>85</v>
      </c>
      <c r="U100" s="6" t="s">
        <v>83</v>
      </c>
      <c r="V100" s="184">
        <v>100</v>
      </c>
      <c r="Z100" s="6" t="s">
        <v>85</v>
      </c>
      <c r="AA100" s="6" t="s">
        <v>83</v>
      </c>
      <c r="AB100" s="184">
        <v>100</v>
      </c>
    </row>
    <row r="101" spans="2:28" x14ac:dyDescent="0.25">
      <c r="B101" s="6" t="s">
        <v>86</v>
      </c>
      <c r="C101" s="6" t="s">
        <v>83</v>
      </c>
      <c r="D101" s="184">
        <f t="shared" si="5"/>
        <v>40</v>
      </c>
      <c r="H101" s="6" t="s">
        <v>86</v>
      </c>
      <c r="I101" s="6" t="s">
        <v>83</v>
      </c>
      <c r="J101" s="184">
        <v>40</v>
      </c>
      <c r="N101" s="6" t="s">
        <v>86</v>
      </c>
      <c r="O101" s="6" t="s">
        <v>83</v>
      </c>
      <c r="P101" s="184">
        <v>40</v>
      </c>
      <c r="T101" s="6" t="s">
        <v>86</v>
      </c>
      <c r="U101" s="6" t="s">
        <v>83</v>
      </c>
      <c r="V101" s="184">
        <v>40</v>
      </c>
      <c r="Z101" s="6" t="s">
        <v>86</v>
      </c>
      <c r="AA101" s="6" t="s">
        <v>83</v>
      </c>
      <c r="AB101" s="184">
        <v>40</v>
      </c>
    </row>
    <row r="102" spans="2:28" x14ac:dyDescent="0.25">
      <c r="B102" s="15" t="s">
        <v>87</v>
      </c>
      <c r="C102" s="15" t="s">
        <v>83</v>
      </c>
      <c r="D102" s="179">
        <f t="shared" si="5"/>
        <v>0.3</v>
      </c>
      <c r="H102" s="15" t="s">
        <v>87</v>
      </c>
      <c r="I102" s="15" t="s">
        <v>83</v>
      </c>
      <c r="J102" s="179">
        <v>0.3</v>
      </c>
      <c r="N102" s="15" t="s">
        <v>87</v>
      </c>
      <c r="O102" s="15" t="s">
        <v>83</v>
      </c>
      <c r="P102" s="179">
        <v>0.3</v>
      </c>
      <c r="T102" s="15" t="s">
        <v>87</v>
      </c>
      <c r="U102" s="15" t="s">
        <v>83</v>
      </c>
      <c r="V102" s="179">
        <v>0.3</v>
      </c>
      <c r="Z102" s="15" t="s">
        <v>87</v>
      </c>
      <c r="AA102" s="15" t="s">
        <v>83</v>
      </c>
      <c r="AB102" s="179">
        <v>0.3</v>
      </c>
    </row>
    <row r="103" spans="2:28" x14ac:dyDescent="0.25">
      <c r="B103" s="6" t="s">
        <v>88</v>
      </c>
      <c r="C103" s="6" t="s">
        <v>83</v>
      </c>
      <c r="D103" s="184">
        <f t="shared" si="5"/>
        <v>1</v>
      </c>
      <c r="H103" s="6" t="s">
        <v>88</v>
      </c>
      <c r="I103" s="6" t="s">
        <v>83</v>
      </c>
      <c r="J103" s="184">
        <v>1</v>
      </c>
      <c r="N103" s="6" t="s">
        <v>88</v>
      </c>
      <c r="O103" s="6" t="s">
        <v>83</v>
      </c>
      <c r="P103" s="184">
        <v>1</v>
      </c>
      <c r="T103" s="6" t="s">
        <v>88</v>
      </c>
      <c r="U103" s="6" t="s">
        <v>83</v>
      </c>
      <c r="V103" s="184">
        <v>1</v>
      </c>
      <c r="Z103" s="6" t="s">
        <v>88</v>
      </c>
      <c r="AA103" s="6" t="s">
        <v>83</v>
      </c>
      <c r="AB103" s="184">
        <v>1</v>
      </c>
    </row>
    <row r="104" spans="2:28" hidden="1" x14ac:dyDescent="0.25">
      <c r="B104" s="6" t="s">
        <v>89</v>
      </c>
      <c r="C104" s="6" t="s">
        <v>90</v>
      </c>
      <c r="D104" s="185">
        <f t="shared" si="5"/>
        <v>8000</v>
      </c>
      <c r="H104" s="6" t="s">
        <v>89</v>
      </c>
      <c r="I104" s="6" t="s">
        <v>90</v>
      </c>
      <c r="J104" s="185">
        <v>8000</v>
      </c>
      <c r="N104" s="6" t="s">
        <v>89</v>
      </c>
      <c r="O104" s="6" t="s">
        <v>90</v>
      </c>
      <c r="P104" s="185">
        <v>8000</v>
      </c>
      <c r="T104" s="6" t="s">
        <v>89</v>
      </c>
      <c r="U104" s="6" t="s">
        <v>90</v>
      </c>
      <c r="V104" s="185">
        <v>8000</v>
      </c>
      <c r="Z104" s="6" t="s">
        <v>89</v>
      </c>
      <c r="AA104" s="6" t="s">
        <v>90</v>
      </c>
      <c r="AB104" s="185">
        <v>8000</v>
      </c>
    </row>
    <row r="105" spans="2:28" hidden="1" x14ac:dyDescent="0.25">
      <c r="B105" s="6" t="s">
        <v>91</v>
      </c>
      <c r="C105" s="6" t="s">
        <v>90</v>
      </c>
      <c r="D105" s="185">
        <f t="shared" si="5"/>
        <v>1500</v>
      </c>
      <c r="H105" s="6" t="s">
        <v>91</v>
      </c>
      <c r="I105" s="6" t="s">
        <v>90</v>
      </c>
      <c r="J105" s="185">
        <v>1500</v>
      </c>
      <c r="N105" s="6" t="s">
        <v>91</v>
      </c>
      <c r="O105" s="6" t="s">
        <v>90</v>
      </c>
      <c r="P105" s="185">
        <v>1500</v>
      </c>
      <c r="T105" s="6" t="s">
        <v>91</v>
      </c>
      <c r="U105" s="6" t="s">
        <v>90</v>
      </c>
      <c r="V105" s="185">
        <v>1500</v>
      </c>
      <c r="Z105" s="6" t="s">
        <v>91</v>
      </c>
      <c r="AA105" s="6" t="s">
        <v>90</v>
      </c>
      <c r="AB105" s="185">
        <v>1500</v>
      </c>
    </row>
    <row r="106" spans="2:28" hidden="1" x14ac:dyDescent="0.25">
      <c r="B106" s="6" t="s">
        <v>92</v>
      </c>
      <c r="C106" s="6" t="s">
        <v>90</v>
      </c>
      <c r="D106" s="185">
        <f t="shared" si="5"/>
        <v>30</v>
      </c>
      <c r="H106" s="6" t="s">
        <v>92</v>
      </c>
      <c r="I106" s="6" t="s">
        <v>90</v>
      </c>
      <c r="J106" s="185">
        <v>30</v>
      </c>
      <c r="N106" s="6" t="s">
        <v>92</v>
      </c>
      <c r="O106" s="6" t="s">
        <v>90</v>
      </c>
      <c r="P106" s="185">
        <v>30</v>
      </c>
      <c r="T106" s="6" t="s">
        <v>92</v>
      </c>
      <c r="U106" s="6" t="s">
        <v>90</v>
      </c>
      <c r="V106" s="185">
        <v>30</v>
      </c>
      <c r="Z106" s="6" t="s">
        <v>92</v>
      </c>
      <c r="AA106" s="6" t="s">
        <v>90</v>
      </c>
      <c r="AB106" s="185">
        <v>30</v>
      </c>
    </row>
    <row r="107" spans="2:28" hidden="1" x14ac:dyDescent="0.25">
      <c r="B107" s="6" t="s">
        <v>93</v>
      </c>
      <c r="C107" s="6" t="s">
        <v>83</v>
      </c>
      <c r="D107" s="184">
        <f t="shared" si="5"/>
        <v>2</v>
      </c>
      <c r="H107" s="6" t="s">
        <v>93</v>
      </c>
      <c r="I107" s="6" t="s">
        <v>83</v>
      </c>
      <c r="J107" s="184">
        <v>2</v>
      </c>
      <c r="N107" s="6" t="s">
        <v>93</v>
      </c>
      <c r="O107" s="6" t="s">
        <v>83</v>
      </c>
      <c r="P107" s="184">
        <v>2</v>
      </c>
      <c r="T107" s="6" t="s">
        <v>93</v>
      </c>
      <c r="U107" s="6" t="s">
        <v>83</v>
      </c>
      <c r="V107" s="184">
        <v>2</v>
      </c>
      <c r="Z107" s="6" t="s">
        <v>93</v>
      </c>
      <c r="AA107" s="6" t="s">
        <v>83</v>
      </c>
      <c r="AB107" s="184">
        <v>2</v>
      </c>
    </row>
    <row r="108" spans="2:28" hidden="1" x14ac:dyDescent="0.25">
      <c r="B108" s="6" t="s">
        <v>94</v>
      </c>
      <c r="C108" s="6" t="s">
        <v>83</v>
      </c>
      <c r="D108" s="178">
        <f t="shared" si="5"/>
        <v>1</v>
      </c>
      <c r="H108" s="6" t="s">
        <v>94</v>
      </c>
      <c r="I108" s="6" t="s">
        <v>83</v>
      </c>
      <c r="J108" s="178">
        <v>1</v>
      </c>
      <c r="N108" s="6" t="s">
        <v>94</v>
      </c>
      <c r="O108" s="6" t="s">
        <v>83</v>
      </c>
      <c r="P108" s="178">
        <v>1</v>
      </c>
      <c r="T108" s="6" t="s">
        <v>94</v>
      </c>
      <c r="U108" s="6" t="s">
        <v>83</v>
      </c>
      <c r="V108" s="178">
        <v>1</v>
      </c>
      <c r="Z108" s="6" t="s">
        <v>94</v>
      </c>
      <c r="AA108" s="6" t="s">
        <v>83</v>
      </c>
      <c r="AB108" s="178">
        <v>1</v>
      </c>
    </row>
    <row r="109" spans="2:28" hidden="1" x14ac:dyDescent="0.25">
      <c r="B109" s="6" t="s">
        <v>95</v>
      </c>
      <c r="C109" s="6" t="s">
        <v>83</v>
      </c>
      <c r="D109" s="178">
        <f t="shared" si="5"/>
        <v>4</v>
      </c>
      <c r="H109" s="6" t="s">
        <v>95</v>
      </c>
      <c r="I109" s="6" t="s">
        <v>83</v>
      </c>
      <c r="J109" s="178">
        <v>4</v>
      </c>
      <c r="N109" s="6" t="s">
        <v>95</v>
      </c>
      <c r="O109" s="6" t="s">
        <v>83</v>
      </c>
      <c r="P109" s="178">
        <v>4</v>
      </c>
      <c r="T109" s="6" t="s">
        <v>95</v>
      </c>
      <c r="U109" s="6" t="s">
        <v>83</v>
      </c>
      <c r="V109" s="178">
        <v>4</v>
      </c>
      <c r="Z109" s="6" t="s">
        <v>95</v>
      </c>
      <c r="AA109" s="6" t="s">
        <v>83</v>
      </c>
      <c r="AB109" s="178">
        <v>4</v>
      </c>
    </row>
    <row r="110" spans="2:28" hidden="1" x14ac:dyDescent="0.25">
      <c r="B110" s="6" t="s">
        <v>96</v>
      </c>
      <c r="C110" s="6" t="s">
        <v>83</v>
      </c>
      <c r="D110" s="178">
        <f t="shared" si="5"/>
        <v>20</v>
      </c>
      <c r="H110" s="6" t="s">
        <v>96</v>
      </c>
      <c r="I110" s="6" t="s">
        <v>83</v>
      </c>
      <c r="J110" s="178">
        <v>20</v>
      </c>
      <c r="N110" s="6" t="s">
        <v>96</v>
      </c>
      <c r="O110" s="6" t="s">
        <v>83</v>
      </c>
      <c r="P110" s="178">
        <v>20</v>
      </c>
      <c r="T110" s="6" t="s">
        <v>96</v>
      </c>
      <c r="U110" s="6" t="s">
        <v>83</v>
      </c>
      <c r="V110" s="178">
        <v>20</v>
      </c>
      <c r="Z110" s="6" t="s">
        <v>96</v>
      </c>
      <c r="AA110" s="6" t="s">
        <v>83</v>
      </c>
      <c r="AB110" s="178">
        <v>20</v>
      </c>
    </row>
    <row r="111" spans="2:28" hidden="1" x14ac:dyDescent="0.25">
      <c r="B111" s="6" t="s">
        <v>97</v>
      </c>
      <c r="C111" s="6" t="s">
        <v>83</v>
      </c>
      <c r="D111" s="178">
        <f t="shared" si="5"/>
        <v>0</v>
      </c>
      <c r="H111" s="6" t="s">
        <v>97</v>
      </c>
      <c r="I111" s="6" t="s">
        <v>83</v>
      </c>
      <c r="J111" s="178">
        <v>0</v>
      </c>
      <c r="N111" s="6" t="s">
        <v>97</v>
      </c>
      <c r="O111" s="6" t="s">
        <v>83</v>
      </c>
      <c r="P111" s="178">
        <v>0</v>
      </c>
      <c r="T111" s="6" t="s">
        <v>97</v>
      </c>
      <c r="U111" s="6" t="s">
        <v>83</v>
      </c>
      <c r="V111" s="178">
        <v>0</v>
      </c>
      <c r="Z111" s="6" t="s">
        <v>97</v>
      </c>
      <c r="AA111" s="6" t="s">
        <v>83</v>
      </c>
      <c r="AB111" s="178">
        <v>0</v>
      </c>
    </row>
    <row r="112" spans="2:28" hidden="1" x14ac:dyDescent="0.25">
      <c r="B112" s="6" t="s">
        <v>98</v>
      </c>
      <c r="C112" s="6" t="s">
        <v>83</v>
      </c>
      <c r="D112" s="178">
        <f t="shared" si="5"/>
        <v>12</v>
      </c>
      <c r="H112" s="6" t="s">
        <v>98</v>
      </c>
      <c r="I112" s="6" t="s">
        <v>83</v>
      </c>
      <c r="J112" s="178">
        <v>12</v>
      </c>
      <c r="N112" s="6" t="s">
        <v>98</v>
      </c>
      <c r="O112" s="6" t="s">
        <v>83</v>
      </c>
      <c r="P112" s="178">
        <v>12</v>
      </c>
      <c r="T112" s="6" t="s">
        <v>98</v>
      </c>
      <c r="U112" s="6" t="s">
        <v>83</v>
      </c>
      <c r="V112" s="178">
        <v>12</v>
      </c>
      <c r="Z112" s="6" t="s">
        <v>98</v>
      </c>
      <c r="AA112" s="6" t="s">
        <v>83</v>
      </c>
      <c r="AB112" s="178">
        <v>12</v>
      </c>
    </row>
    <row r="113" spans="2:28" hidden="1" x14ac:dyDescent="0.25">
      <c r="B113" s="6" t="s">
        <v>99</v>
      </c>
      <c r="C113" s="6" t="s">
        <v>83</v>
      </c>
      <c r="D113" s="178">
        <f t="shared" si="5"/>
        <v>2</v>
      </c>
      <c r="H113" s="6" t="s">
        <v>99</v>
      </c>
      <c r="I113" s="6" t="s">
        <v>83</v>
      </c>
      <c r="J113" s="178">
        <v>2</v>
      </c>
      <c r="N113" s="6" t="s">
        <v>99</v>
      </c>
      <c r="O113" s="6" t="s">
        <v>83</v>
      </c>
      <c r="P113" s="178">
        <v>2</v>
      </c>
      <c r="T113" s="6" t="s">
        <v>99</v>
      </c>
      <c r="U113" s="6" t="s">
        <v>83</v>
      </c>
      <c r="V113" s="178">
        <v>2</v>
      </c>
      <c r="Z113" s="6" t="s">
        <v>99</v>
      </c>
      <c r="AA113" s="6" t="s">
        <v>83</v>
      </c>
      <c r="AB113" s="178">
        <v>2</v>
      </c>
    </row>
    <row r="114" spans="2:28" hidden="1" x14ac:dyDescent="0.25">
      <c r="B114" s="6" t="s">
        <v>100</v>
      </c>
      <c r="C114" s="6" t="s">
        <v>83</v>
      </c>
      <c r="D114" s="178">
        <f t="shared" si="5"/>
        <v>0.1</v>
      </c>
      <c r="H114" s="6" t="s">
        <v>100</v>
      </c>
      <c r="I114" s="6" t="s">
        <v>83</v>
      </c>
      <c r="J114" s="178">
        <v>0.1</v>
      </c>
      <c r="N114" s="6" t="s">
        <v>100</v>
      </c>
      <c r="O114" s="6" t="s">
        <v>83</v>
      </c>
      <c r="P114" s="178">
        <v>0.1</v>
      </c>
      <c r="T114" s="6" t="s">
        <v>100</v>
      </c>
      <c r="U114" s="6" t="s">
        <v>83</v>
      </c>
      <c r="V114" s="178">
        <v>0.1</v>
      </c>
      <c r="Z114" s="6" t="s">
        <v>100</v>
      </c>
      <c r="AA114" s="6" t="s">
        <v>83</v>
      </c>
      <c r="AB114" s="178">
        <v>0.1</v>
      </c>
    </row>
    <row r="115" spans="2:28" hidden="1" x14ac:dyDescent="0.25">
      <c r="B115" s="6" t="s">
        <v>101</v>
      </c>
      <c r="C115" s="6" t="s">
        <v>83</v>
      </c>
      <c r="D115" s="178">
        <f t="shared" si="5"/>
        <v>0.5</v>
      </c>
      <c r="H115" s="6" t="s">
        <v>101</v>
      </c>
      <c r="I115" s="6" t="s">
        <v>83</v>
      </c>
      <c r="J115" s="178">
        <v>0.5</v>
      </c>
      <c r="N115" s="6" t="s">
        <v>101</v>
      </c>
      <c r="O115" s="6" t="s">
        <v>83</v>
      </c>
      <c r="P115" s="178">
        <v>0.5</v>
      </c>
      <c r="T115" s="6" t="s">
        <v>101</v>
      </c>
      <c r="U115" s="6" t="s">
        <v>83</v>
      </c>
      <c r="V115" s="178">
        <v>0.5</v>
      </c>
      <c r="Z115" s="6" t="s">
        <v>101</v>
      </c>
      <c r="AA115" s="6" t="s">
        <v>83</v>
      </c>
      <c r="AB115" s="178">
        <v>0.5</v>
      </c>
    </row>
    <row r="116" spans="2:28" hidden="1" x14ac:dyDescent="0.25">
      <c r="B116" s="6" t="s">
        <v>102</v>
      </c>
      <c r="C116" s="6" t="s">
        <v>83</v>
      </c>
      <c r="D116" s="178">
        <f t="shared" si="5"/>
        <v>0.02</v>
      </c>
      <c r="H116" s="6" t="s">
        <v>102</v>
      </c>
      <c r="I116" s="6" t="s">
        <v>83</v>
      </c>
      <c r="J116" s="178">
        <v>0.02</v>
      </c>
      <c r="N116" s="6" t="s">
        <v>102</v>
      </c>
      <c r="O116" s="6" t="s">
        <v>83</v>
      </c>
      <c r="P116" s="178">
        <v>0.02</v>
      </c>
      <c r="T116" s="6" t="s">
        <v>102</v>
      </c>
      <c r="U116" s="6" t="s">
        <v>83</v>
      </c>
      <c r="V116" s="178">
        <v>0.02</v>
      </c>
      <c r="Z116" s="6" t="s">
        <v>102</v>
      </c>
      <c r="AA116" s="6" t="s">
        <v>83</v>
      </c>
      <c r="AB116" s="178">
        <v>0.02</v>
      </c>
    </row>
    <row r="117" spans="2:28" hidden="1" x14ac:dyDescent="0.25">
      <c r="B117" s="6" t="s">
        <v>103</v>
      </c>
      <c r="C117" s="6" t="s">
        <v>104</v>
      </c>
      <c r="D117" s="178">
        <f t="shared" si="5"/>
        <v>52.371904000000001</v>
      </c>
      <c r="H117" s="6" t="s">
        <v>103</v>
      </c>
      <c r="I117" s="6" t="s">
        <v>104</v>
      </c>
      <c r="J117" s="178">
        <v>37.893774000000001</v>
      </c>
      <c r="N117" s="6" t="s">
        <v>103</v>
      </c>
      <c r="O117" s="6" t="s">
        <v>104</v>
      </c>
      <c r="P117" s="178">
        <v>38.8581</v>
      </c>
      <c r="T117" s="6" t="s">
        <v>103</v>
      </c>
      <c r="U117" s="6" t="s">
        <v>104</v>
      </c>
      <c r="V117" s="178">
        <v>38.947861000000003</v>
      </c>
      <c r="Z117" s="6" t="s">
        <v>103</v>
      </c>
      <c r="AA117" s="6" t="s">
        <v>104</v>
      </c>
      <c r="AB117" s="178">
        <v>27.568864999999999</v>
      </c>
    </row>
    <row r="118" spans="2:28" hidden="1" x14ac:dyDescent="0.25">
      <c r="B118" s="6" t="s">
        <v>105</v>
      </c>
      <c r="C118" s="6" t="s">
        <v>106</v>
      </c>
      <c r="D118" s="178">
        <f t="shared" si="5"/>
        <v>558.87900000000002</v>
      </c>
      <c r="H118" s="6" t="s">
        <v>105</v>
      </c>
      <c r="I118" s="6" t="s">
        <v>106</v>
      </c>
      <c r="J118" s="178">
        <v>516.10199999999998</v>
      </c>
      <c r="N118" s="6" t="s">
        <v>105</v>
      </c>
      <c r="O118" s="6" t="s">
        <v>106</v>
      </c>
      <c r="P118" s="178">
        <v>514.80200000000002</v>
      </c>
      <c r="T118" s="6" t="s">
        <v>105</v>
      </c>
      <c r="U118" s="6" t="s">
        <v>106</v>
      </c>
      <c r="V118" s="178">
        <v>515.382925</v>
      </c>
      <c r="Z118" s="6" t="s">
        <v>105</v>
      </c>
      <c r="AA118" s="6" t="s">
        <v>106</v>
      </c>
      <c r="AB118" s="178">
        <v>532.86444700000004</v>
      </c>
    </row>
    <row r="119" spans="2:28" hidden="1" x14ac:dyDescent="0.25">
      <c r="B119" s="6" t="s">
        <v>107</v>
      </c>
      <c r="D119" s="178">
        <f t="shared" si="5"/>
        <v>4.5822000000000003</v>
      </c>
      <c r="H119" s="6" t="s">
        <v>107</v>
      </c>
      <c r="J119" s="178">
        <v>6.0716000000000001</v>
      </c>
      <c r="N119" s="6" t="s">
        <v>107</v>
      </c>
      <c r="P119" s="178">
        <v>6.2816000000000001</v>
      </c>
      <c r="T119" s="6" t="s">
        <v>107</v>
      </c>
      <c r="V119" s="178">
        <v>6.0507669999999996</v>
      </c>
      <c r="Z119" s="6" t="s">
        <v>107</v>
      </c>
      <c r="AB119" s="178">
        <v>6.8458100000000002</v>
      </c>
    </row>
    <row r="120" spans="2:28" hidden="1" x14ac:dyDescent="0.25">
      <c r="B120" s="6" t="s">
        <v>203</v>
      </c>
      <c r="C120" s="6" t="s">
        <v>83</v>
      </c>
      <c r="D120" s="178">
        <f t="shared" si="5"/>
        <v>0</v>
      </c>
      <c r="H120" s="6" t="s">
        <v>203</v>
      </c>
      <c r="I120" s="6" t="s">
        <v>83</v>
      </c>
      <c r="J120" s="178">
        <v>0</v>
      </c>
      <c r="N120" s="6" t="s">
        <v>203</v>
      </c>
      <c r="O120" s="6" t="s">
        <v>83</v>
      </c>
      <c r="P120" s="178">
        <v>0</v>
      </c>
      <c r="T120" s="6" t="s">
        <v>203</v>
      </c>
      <c r="U120" s="6" t="s">
        <v>83</v>
      </c>
      <c r="V120" s="178">
        <v>0</v>
      </c>
      <c r="Z120" s="6" t="s">
        <v>203</v>
      </c>
      <c r="AA120" s="6" t="s">
        <v>83</v>
      </c>
      <c r="AB120" s="178">
        <v>0</v>
      </c>
    </row>
    <row r="121" spans="2:28" hidden="1" x14ac:dyDescent="0.25">
      <c r="B121" s="6" t="s">
        <v>204</v>
      </c>
      <c r="C121" s="6" t="s">
        <v>83</v>
      </c>
      <c r="D121" s="178">
        <f t="shared" si="5"/>
        <v>0</v>
      </c>
      <c r="H121" s="6" t="s">
        <v>204</v>
      </c>
      <c r="I121" s="6" t="s">
        <v>83</v>
      </c>
      <c r="J121" s="178">
        <v>0</v>
      </c>
      <c r="N121" s="6" t="s">
        <v>204</v>
      </c>
      <c r="O121" s="6" t="s">
        <v>83</v>
      </c>
      <c r="P121" s="178">
        <v>0</v>
      </c>
      <c r="T121" s="6" t="s">
        <v>204</v>
      </c>
      <c r="U121" s="6" t="s">
        <v>83</v>
      </c>
      <c r="V121" s="178">
        <v>0</v>
      </c>
      <c r="Z121" s="6" t="s">
        <v>204</v>
      </c>
      <c r="AA121" s="6" t="s">
        <v>83</v>
      </c>
      <c r="AB121" s="178">
        <v>0</v>
      </c>
    </row>
    <row r="122" spans="2:28" hidden="1" x14ac:dyDescent="0.25">
      <c r="B122" s="6" t="s">
        <v>205</v>
      </c>
      <c r="C122" s="6" t="s">
        <v>83</v>
      </c>
      <c r="D122" s="178">
        <f t="shared" ref="D122:D146" si="6">IFERROR(VLOOKUP(B122,raw_2,10,FALSE),0)</f>
        <v>0</v>
      </c>
      <c r="H122" s="6" t="s">
        <v>205</v>
      </c>
      <c r="I122" s="6" t="s">
        <v>83</v>
      </c>
      <c r="J122" s="178">
        <v>0</v>
      </c>
      <c r="N122" s="6" t="s">
        <v>205</v>
      </c>
      <c r="O122" s="6" t="s">
        <v>83</v>
      </c>
      <c r="P122" s="178">
        <v>0</v>
      </c>
      <c r="T122" s="6" t="s">
        <v>205</v>
      </c>
      <c r="U122" s="6" t="s">
        <v>83</v>
      </c>
      <c r="V122" s="178">
        <v>0</v>
      </c>
      <c r="Z122" s="6" t="s">
        <v>205</v>
      </c>
      <c r="AA122" s="6" t="s">
        <v>83</v>
      </c>
      <c r="AB122" s="178">
        <v>0</v>
      </c>
    </row>
    <row r="123" spans="2:28" hidden="1" x14ac:dyDescent="0.25">
      <c r="B123" s="6" t="s">
        <v>191</v>
      </c>
      <c r="C123" s="6" t="s">
        <v>83</v>
      </c>
      <c r="D123" s="178">
        <f t="shared" si="6"/>
        <v>0</v>
      </c>
      <c r="H123" s="6" t="s">
        <v>191</v>
      </c>
      <c r="I123" s="6" t="s">
        <v>83</v>
      </c>
      <c r="J123" s="178">
        <v>0</v>
      </c>
      <c r="N123" s="6" t="s">
        <v>191</v>
      </c>
      <c r="O123" s="6" t="s">
        <v>83</v>
      </c>
      <c r="P123" s="178">
        <v>0</v>
      </c>
      <c r="T123" s="6" t="s">
        <v>191</v>
      </c>
      <c r="U123" s="6" t="s">
        <v>83</v>
      </c>
      <c r="V123" s="178">
        <v>0</v>
      </c>
      <c r="Z123" s="6" t="s">
        <v>191</v>
      </c>
      <c r="AA123" s="6" t="s">
        <v>83</v>
      </c>
      <c r="AB123" s="178">
        <v>0</v>
      </c>
    </row>
    <row r="124" spans="2:28" hidden="1" x14ac:dyDescent="0.25">
      <c r="B124" s="6" t="s">
        <v>192</v>
      </c>
      <c r="C124" s="6" t="s">
        <v>83</v>
      </c>
      <c r="D124" s="178">
        <f t="shared" si="6"/>
        <v>0</v>
      </c>
      <c r="H124" s="6" t="s">
        <v>192</v>
      </c>
      <c r="I124" s="6" t="s">
        <v>83</v>
      </c>
      <c r="J124" s="178">
        <v>0</v>
      </c>
      <c r="N124" s="6" t="s">
        <v>192</v>
      </c>
      <c r="O124" s="6" t="s">
        <v>83</v>
      </c>
      <c r="P124" s="178">
        <v>0</v>
      </c>
      <c r="T124" s="6" t="s">
        <v>192</v>
      </c>
      <c r="U124" s="6" t="s">
        <v>83</v>
      </c>
      <c r="V124" s="178">
        <v>0</v>
      </c>
      <c r="Z124" s="6" t="s">
        <v>192</v>
      </c>
      <c r="AA124" s="6" t="s">
        <v>83</v>
      </c>
      <c r="AB124" s="178">
        <v>0</v>
      </c>
    </row>
    <row r="125" spans="2:28" hidden="1" x14ac:dyDescent="0.25">
      <c r="B125" s="6" t="s">
        <v>193</v>
      </c>
      <c r="C125" s="6" t="s">
        <v>83</v>
      </c>
      <c r="D125" s="178">
        <f t="shared" si="6"/>
        <v>0</v>
      </c>
      <c r="H125" s="6" t="s">
        <v>193</v>
      </c>
      <c r="I125" s="6" t="s">
        <v>83</v>
      </c>
      <c r="J125" s="178">
        <v>0</v>
      </c>
      <c r="N125" s="6" t="s">
        <v>193</v>
      </c>
      <c r="O125" s="6" t="s">
        <v>83</v>
      </c>
      <c r="P125" s="178">
        <v>0</v>
      </c>
      <c r="T125" s="6" t="s">
        <v>193</v>
      </c>
      <c r="U125" s="6" t="s">
        <v>83</v>
      </c>
      <c r="V125" s="178">
        <v>0</v>
      </c>
      <c r="Z125" s="6" t="s">
        <v>193</v>
      </c>
      <c r="AA125" s="6" t="s">
        <v>83</v>
      </c>
      <c r="AB125" s="178">
        <v>0</v>
      </c>
    </row>
    <row r="126" spans="2:28" hidden="1" x14ac:dyDescent="0.25">
      <c r="B126" s="6" t="s">
        <v>194</v>
      </c>
      <c r="C126" s="6" t="s">
        <v>83</v>
      </c>
      <c r="D126" s="178">
        <f t="shared" si="6"/>
        <v>0</v>
      </c>
      <c r="H126" s="6" t="s">
        <v>194</v>
      </c>
      <c r="I126" s="6" t="s">
        <v>83</v>
      </c>
      <c r="J126" s="178">
        <v>0</v>
      </c>
      <c r="N126" s="6" t="s">
        <v>194</v>
      </c>
      <c r="O126" s="6" t="s">
        <v>83</v>
      </c>
      <c r="P126" s="178">
        <v>0</v>
      </c>
      <c r="T126" s="6" t="s">
        <v>194</v>
      </c>
      <c r="U126" s="6" t="s">
        <v>83</v>
      </c>
      <c r="V126" s="178">
        <v>0</v>
      </c>
      <c r="Z126" s="6" t="s">
        <v>194</v>
      </c>
      <c r="AA126" s="6" t="s">
        <v>83</v>
      </c>
      <c r="AB126" s="178">
        <v>0</v>
      </c>
    </row>
    <row r="127" spans="2:28" hidden="1" x14ac:dyDescent="0.25">
      <c r="B127" s="6" t="s">
        <v>195</v>
      </c>
      <c r="C127" s="6" t="s">
        <v>83</v>
      </c>
      <c r="D127" s="178">
        <f t="shared" si="6"/>
        <v>0</v>
      </c>
      <c r="H127" s="6" t="s">
        <v>195</v>
      </c>
      <c r="I127" s="6" t="s">
        <v>83</v>
      </c>
      <c r="J127" s="178">
        <v>0</v>
      </c>
      <c r="N127" s="6" t="s">
        <v>195</v>
      </c>
      <c r="O127" s="6" t="s">
        <v>83</v>
      </c>
      <c r="P127" s="178">
        <v>0</v>
      </c>
      <c r="T127" s="6" t="s">
        <v>195</v>
      </c>
      <c r="U127" s="6" t="s">
        <v>83</v>
      </c>
      <c r="V127" s="178">
        <v>0</v>
      </c>
      <c r="Z127" s="6" t="s">
        <v>195</v>
      </c>
      <c r="AA127" s="6" t="s">
        <v>83</v>
      </c>
      <c r="AB127" s="178">
        <v>0</v>
      </c>
    </row>
    <row r="128" spans="2:28" hidden="1" x14ac:dyDescent="0.25">
      <c r="B128" s="6" t="s">
        <v>196</v>
      </c>
      <c r="C128" s="6" t="s">
        <v>83</v>
      </c>
      <c r="D128" s="178">
        <f t="shared" si="6"/>
        <v>0</v>
      </c>
      <c r="H128" s="6" t="s">
        <v>196</v>
      </c>
      <c r="I128" s="6" t="s">
        <v>83</v>
      </c>
      <c r="J128" s="178">
        <v>0</v>
      </c>
      <c r="N128" s="6" t="s">
        <v>196</v>
      </c>
      <c r="O128" s="6" t="s">
        <v>83</v>
      </c>
      <c r="P128" s="178">
        <v>0</v>
      </c>
      <c r="T128" s="6" t="s">
        <v>196</v>
      </c>
      <c r="U128" s="6" t="s">
        <v>83</v>
      </c>
      <c r="V128" s="178">
        <v>0</v>
      </c>
      <c r="Z128" s="6" t="s">
        <v>196</v>
      </c>
      <c r="AA128" s="6" t="s">
        <v>83</v>
      </c>
      <c r="AB128" s="178">
        <v>0</v>
      </c>
    </row>
    <row r="129" spans="2:28" hidden="1" x14ac:dyDescent="0.25">
      <c r="B129" s="6" t="s">
        <v>197</v>
      </c>
      <c r="C129" s="6" t="s">
        <v>83</v>
      </c>
      <c r="D129" s="178">
        <f t="shared" si="6"/>
        <v>0</v>
      </c>
      <c r="H129" s="6" t="s">
        <v>197</v>
      </c>
      <c r="I129" s="6" t="s">
        <v>83</v>
      </c>
      <c r="J129" s="178">
        <v>0</v>
      </c>
      <c r="N129" s="6" t="s">
        <v>197</v>
      </c>
      <c r="O129" s="6" t="s">
        <v>83</v>
      </c>
      <c r="P129" s="178">
        <v>0</v>
      </c>
      <c r="T129" s="6" t="s">
        <v>197</v>
      </c>
      <c r="U129" s="6" t="s">
        <v>83</v>
      </c>
      <c r="V129" s="178">
        <v>0</v>
      </c>
      <c r="Z129" s="6" t="s">
        <v>197</v>
      </c>
      <c r="AA129" s="6" t="s">
        <v>83</v>
      </c>
      <c r="AB129" s="178">
        <v>0</v>
      </c>
    </row>
    <row r="130" spans="2:28" hidden="1" x14ac:dyDescent="0.25">
      <c r="B130" s="6" t="s">
        <v>198</v>
      </c>
      <c r="C130" s="6" t="s">
        <v>83</v>
      </c>
      <c r="D130" s="178">
        <f t="shared" si="6"/>
        <v>0</v>
      </c>
      <c r="H130" s="6" t="s">
        <v>198</v>
      </c>
      <c r="I130" s="6" t="s">
        <v>83</v>
      </c>
      <c r="J130" s="178">
        <v>0</v>
      </c>
      <c r="N130" s="6" t="s">
        <v>198</v>
      </c>
      <c r="O130" s="6" t="s">
        <v>83</v>
      </c>
      <c r="P130" s="178">
        <v>0</v>
      </c>
      <c r="T130" s="6" t="s">
        <v>198</v>
      </c>
      <c r="U130" s="6" t="s">
        <v>83</v>
      </c>
      <c r="V130" s="178">
        <v>0</v>
      </c>
      <c r="Z130" s="6" t="s">
        <v>198</v>
      </c>
      <c r="AA130" s="6" t="s">
        <v>83</v>
      </c>
      <c r="AB130" s="178">
        <v>0</v>
      </c>
    </row>
    <row r="131" spans="2:28" hidden="1" x14ac:dyDescent="0.25">
      <c r="B131" s="6" t="s">
        <v>199</v>
      </c>
      <c r="C131" s="6" t="s">
        <v>83</v>
      </c>
      <c r="D131" s="178">
        <f t="shared" si="6"/>
        <v>0</v>
      </c>
      <c r="H131" s="6" t="s">
        <v>199</v>
      </c>
      <c r="I131" s="6" t="s">
        <v>83</v>
      </c>
      <c r="J131" s="178">
        <v>0</v>
      </c>
      <c r="N131" s="6" t="s">
        <v>199</v>
      </c>
      <c r="O131" s="6" t="s">
        <v>83</v>
      </c>
      <c r="P131" s="178">
        <v>0</v>
      </c>
      <c r="T131" s="6" t="s">
        <v>199</v>
      </c>
      <c r="U131" s="6" t="s">
        <v>83</v>
      </c>
      <c r="V131" s="178">
        <v>0</v>
      </c>
      <c r="Z131" s="6" t="s">
        <v>199</v>
      </c>
      <c r="AA131" s="6" t="s">
        <v>83</v>
      </c>
      <c r="AB131" s="178">
        <v>0</v>
      </c>
    </row>
    <row r="132" spans="2:28" hidden="1" x14ac:dyDescent="0.25">
      <c r="B132" s="6" t="s">
        <v>190</v>
      </c>
      <c r="C132" s="6" t="s">
        <v>206</v>
      </c>
      <c r="D132" s="178">
        <f t="shared" si="6"/>
        <v>0</v>
      </c>
      <c r="H132" s="6" t="s">
        <v>190</v>
      </c>
      <c r="I132" s="6" t="s">
        <v>206</v>
      </c>
      <c r="J132" s="178">
        <v>0</v>
      </c>
      <c r="N132" s="6" t="s">
        <v>190</v>
      </c>
      <c r="O132" s="6" t="s">
        <v>206</v>
      </c>
      <c r="P132" s="178">
        <v>0</v>
      </c>
      <c r="T132" s="6" t="s">
        <v>190</v>
      </c>
      <c r="U132" s="6" t="s">
        <v>206</v>
      </c>
      <c r="V132" s="178">
        <v>0</v>
      </c>
      <c r="Z132" s="6" t="s">
        <v>190</v>
      </c>
      <c r="AA132" s="6" t="s">
        <v>206</v>
      </c>
      <c r="AB132" s="178">
        <v>0</v>
      </c>
    </row>
    <row r="133" spans="2:28" hidden="1" x14ac:dyDescent="0.25">
      <c r="B133" s="6" t="s">
        <v>207</v>
      </c>
      <c r="C133" s="6" t="s">
        <v>208</v>
      </c>
      <c r="D133" s="178">
        <f t="shared" si="6"/>
        <v>0</v>
      </c>
      <c r="H133" s="6" t="s">
        <v>207</v>
      </c>
      <c r="I133" s="6" t="s">
        <v>208</v>
      </c>
      <c r="J133" s="178">
        <v>0</v>
      </c>
      <c r="N133" s="6" t="s">
        <v>207</v>
      </c>
      <c r="O133" s="6" t="s">
        <v>208</v>
      </c>
      <c r="P133" s="178">
        <v>0</v>
      </c>
      <c r="T133" s="6" t="s">
        <v>207</v>
      </c>
      <c r="U133" s="6" t="s">
        <v>208</v>
      </c>
      <c r="V133" s="178">
        <v>0</v>
      </c>
      <c r="Z133" s="6" t="s">
        <v>207</v>
      </c>
      <c r="AA133" s="6" t="s">
        <v>208</v>
      </c>
      <c r="AB133" s="178">
        <v>0</v>
      </c>
    </row>
    <row r="134" spans="2:28" hidden="1" x14ac:dyDescent="0.25">
      <c r="B134" s="6" t="s">
        <v>209</v>
      </c>
      <c r="C134" s="6" t="s">
        <v>210</v>
      </c>
      <c r="D134" s="178">
        <f t="shared" si="6"/>
        <v>0</v>
      </c>
      <c r="H134" s="6" t="s">
        <v>209</v>
      </c>
      <c r="I134" s="6" t="s">
        <v>210</v>
      </c>
      <c r="J134" s="178">
        <v>0</v>
      </c>
      <c r="N134" s="6" t="s">
        <v>209</v>
      </c>
      <c r="O134" s="6" t="s">
        <v>210</v>
      </c>
      <c r="P134" s="178">
        <v>0</v>
      </c>
      <c r="T134" s="6" t="s">
        <v>209</v>
      </c>
      <c r="U134" s="6" t="s">
        <v>210</v>
      </c>
      <c r="V134" s="178">
        <v>0</v>
      </c>
      <c r="Z134" s="6" t="s">
        <v>209</v>
      </c>
      <c r="AA134" s="6" t="s">
        <v>210</v>
      </c>
      <c r="AB134" s="178">
        <v>0</v>
      </c>
    </row>
    <row r="135" spans="2:28" hidden="1" x14ac:dyDescent="0.25">
      <c r="B135" s="6" t="s">
        <v>211</v>
      </c>
      <c r="C135" s="6" t="s">
        <v>212</v>
      </c>
      <c r="D135" s="178">
        <f t="shared" si="6"/>
        <v>0</v>
      </c>
      <c r="H135" s="6" t="s">
        <v>211</v>
      </c>
      <c r="I135" s="6" t="s">
        <v>212</v>
      </c>
      <c r="J135" s="178">
        <v>0</v>
      </c>
      <c r="N135" s="6" t="s">
        <v>211</v>
      </c>
      <c r="O135" s="6" t="s">
        <v>212</v>
      </c>
      <c r="P135" s="178">
        <v>0</v>
      </c>
      <c r="T135" s="6" t="s">
        <v>211</v>
      </c>
      <c r="U135" s="6" t="s">
        <v>212</v>
      </c>
      <c r="V135" s="178">
        <v>0</v>
      </c>
      <c r="Z135" s="6" t="s">
        <v>211</v>
      </c>
      <c r="AA135" s="6" t="s">
        <v>212</v>
      </c>
      <c r="AB135" s="178">
        <v>0</v>
      </c>
    </row>
    <row r="136" spans="2:28" hidden="1" x14ac:dyDescent="0.25">
      <c r="B136" s="6" t="s">
        <v>213</v>
      </c>
      <c r="C136" s="6" t="s">
        <v>212</v>
      </c>
      <c r="D136" s="178">
        <f t="shared" si="6"/>
        <v>0</v>
      </c>
      <c r="H136" s="6" t="s">
        <v>213</v>
      </c>
      <c r="I136" s="6" t="s">
        <v>212</v>
      </c>
      <c r="J136" s="178">
        <v>0</v>
      </c>
      <c r="N136" s="6" t="s">
        <v>213</v>
      </c>
      <c r="O136" s="6" t="s">
        <v>212</v>
      </c>
      <c r="P136" s="178">
        <v>0</v>
      </c>
      <c r="T136" s="6" t="s">
        <v>213</v>
      </c>
      <c r="U136" s="6" t="s">
        <v>212</v>
      </c>
      <c r="V136" s="178">
        <v>0</v>
      </c>
      <c r="Z136" s="6" t="s">
        <v>213</v>
      </c>
      <c r="AA136" s="6" t="s">
        <v>212</v>
      </c>
      <c r="AB136" s="178">
        <v>0</v>
      </c>
    </row>
    <row r="137" spans="2:28" hidden="1" x14ac:dyDescent="0.25">
      <c r="B137" s="6" t="s">
        <v>214</v>
      </c>
      <c r="C137" s="6" t="s">
        <v>215</v>
      </c>
      <c r="D137" s="178">
        <f t="shared" si="6"/>
        <v>0</v>
      </c>
      <c r="H137" s="6" t="s">
        <v>214</v>
      </c>
      <c r="I137" s="6" t="s">
        <v>215</v>
      </c>
      <c r="J137" s="178">
        <v>0</v>
      </c>
      <c r="N137" s="6" t="s">
        <v>214</v>
      </c>
      <c r="O137" s="6" t="s">
        <v>215</v>
      </c>
      <c r="P137" s="178">
        <v>0</v>
      </c>
      <c r="T137" s="6" t="s">
        <v>214</v>
      </c>
      <c r="U137" s="6" t="s">
        <v>215</v>
      </c>
      <c r="V137" s="178">
        <v>0</v>
      </c>
      <c r="Z137" s="6" t="s">
        <v>214</v>
      </c>
      <c r="AA137" s="6" t="s">
        <v>215</v>
      </c>
      <c r="AB137" s="178">
        <v>0</v>
      </c>
    </row>
    <row r="138" spans="2:28" hidden="1" x14ac:dyDescent="0.25">
      <c r="B138" s="6" t="s">
        <v>216</v>
      </c>
      <c r="C138" s="6" t="s">
        <v>215</v>
      </c>
      <c r="D138" s="178">
        <f t="shared" si="6"/>
        <v>0</v>
      </c>
      <c r="H138" s="6" t="s">
        <v>216</v>
      </c>
      <c r="I138" s="6" t="s">
        <v>215</v>
      </c>
      <c r="J138" s="178">
        <v>0</v>
      </c>
      <c r="N138" s="6" t="s">
        <v>216</v>
      </c>
      <c r="O138" s="6" t="s">
        <v>215</v>
      </c>
      <c r="P138" s="178">
        <v>0</v>
      </c>
      <c r="T138" s="6" t="s">
        <v>216</v>
      </c>
      <c r="U138" s="6" t="s">
        <v>215</v>
      </c>
      <c r="V138" s="178">
        <v>0</v>
      </c>
      <c r="Z138" s="6" t="s">
        <v>216</v>
      </c>
      <c r="AA138" s="6" t="s">
        <v>215</v>
      </c>
      <c r="AB138" s="178">
        <v>0</v>
      </c>
    </row>
    <row r="139" spans="2:28" hidden="1" x14ac:dyDescent="0.25">
      <c r="B139" s="6" t="s">
        <v>217</v>
      </c>
      <c r="C139" s="6" t="s">
        <v>215</v>
      </c>
      <c r="D139" s="178">
        <f t="shared" si="6"/>
        <v>0</v>
      </c>
      <c r="H139" s="6" t="s">
        <v>217</v>
      </c>
      <c r="I139" s="6" t="s">
        <v>215</v>
      </c>
      <c r="J139" s="178">
        <v>0</v>
      </c>
      <c r="N139" s="6" t="s">
        <v>217</v>
      </c>
      <c r="O139" s="6" t="s">
        <v>215</v>
      </c>
      <c r="P139" s="178">
        <v>0</v>
      </c>
      <c r="T139" s="6" t="s">
        <v>217</v>
      </c>
      <c r="U139" s="6" t="s">
        <v>215</v>
      </c>
      <c r="V139" s="178">
        <v>0</v>
      </c>
      <c r="Z139" s="6" t="s">
        <v>217</v>
      </c>
      <c r="AA139" s="6" t="s">
        <v>215</v>
      </c>
      <c r="AB139" s="178">
        <v>0</v>
      </c>
    </row>
    <row r="140" spans="2:28" hidden="1" x14ac:dyDescent="0.25">
      <c r="B140" s="6" t="s">
        <v>218</v>
      </c>
      <c r="C140" s="6" t="s">
        <v>215</v>
      </c>
      <c r="D140" s="178">
        <f t="shared" si="6"/>
        <v>0</v>
      </c>
      <c r="H140" s="6" t="s">
        <v>218</v>
      </c>
      <c r="I140" s="6" t="s">
        <v>215</v>
      </c>
      <c r="J140" s="178">
        <v>0</v>
      </c>
      <c r="N140" s="6" t="s">
        <v>218</v>
      </c>
      <c r="O140" s="6" t="s">
        <v>215</v>
      </c>
      <c r="P140" s="178">
        <v>0</v>
      </c>
      <c r="T140" s="6" t="s">
        <v>218</v>
      </c>
      <c r="U140" s="6" t="s">
        <v>215</v>
      </c>
      <c r="V140" s="178">
        <v>0</v>
      </c>
      <c r="Z140" s="6" t="s">
        <v>218</v>
      </c>
      <c r="AA140" s="6" t="s">
        <v>215</v>
      </c>
      <c r="AB140" s="178">
        <v>0</v>
      </c>
    </row>
    <row r="141" spans="2:28" hidden="1" x14ac:dyDescent="0.25">
      <c r="B141" s="6" t="s">
        <v>219</v>
      </c>
      <c r="C141" s="6" t="s">
        <v>212</v>
      </c>
      <c r="D141" s="178">
        <f t="shared" si="6"/>
        <v>0</v>
      </c>
      <c r="H141" s="6" t="s">
        <v>219</v>
      </c>
      <c r="I141" s="6" t="s">
        <v>212</v>
      </c>
      <c r="J141" s="178">
        <v>2.0021879999999999</v>
      </c>
      <c r="N141" s="6" t="s">
        <v>219</v>
      </c>
      <c r="O141" s="6" t="s">
        <v>212</v>
      </c>
      <c r="P141" s="178">
        <v>2.0021879999999999</v>
      </c>
      <c r="T141" s="6" t="s">
        <v>219</v>
      </c>
      <c r="U141" s="6" t="s">
        <v>212</v>
      </c>
      <c r="V141" s="178">
        <v>0</v>
      </c>
      <c r="Z141" s="6" t="s">
        <v>219</v>
      </c>
      <c r="AA141" s="6" t="s">
        <v>212</v>
      </c>
      <c r="AB141" s="178">
        <v>0</v>
      </c>
    </row>
    <row r="142" spans="2:28" hidden="1" x14ac:dyDescent="0.25">
      <c r="B142" s="15" t="s">
        <v>220</v>
      </c>
      <c r="C142" s="15" t="s">
        <v>215</v>
      </c>
      <c r="D142" s="179">
        <f t="shared" si="6"/>
        <v>0</v>
      </c>
      <c r="H142" s="15" t="s">
        <v>220</v>
      </c>
      <c r="I142" s="15" t="s">
        <v>215</v>
      </c>
      <c r="J142" s="179">
        <v>0</v>
      </c>
      <c r="N142" s="15" t="s">
        <v>220</v>
      </c>
      <c r="O142" s="15" t="s">
        <v>215</v>
      </c>
      <c r="P142" s="179">
        <v>0</v>
      </c>
      <c r="T142" s="15" t="s">
        <v>220</v>
      </c>
      <c r="U142" s="15" t="s">
        <v>215</v>
      </c>
      <c r="V142" s="179">
        <v>2.0021879999999999</v>
      </c>
      <c r="Z142" s="15" t="s">
        <v>220</v>
      </c>
      <c r="AA142" s="15" t="s">
        <v>215</v>
      </c>
      <c r="AB142" s="179">
        <v>2.0021879999999999</v>
      </c>
    </row>
    <row r="143" spans="2:28" hidden="1" x14ac:dyDescent="0.25">
      <c r="B143" s="6" t="s">
        <v>221</v>
      </c>
      <c r="C143" s="6" t="s">
        <v>215</v>
      </c>
      <c r="D143" s="178">
        <f t="shared" si="6"/>
        <v>0</v>
      </c>
      <c r="H143" s="6" t="s">
        <v>221</v>
      </c>
      <c r="I143" s="6" t="s">
        <v>215</v>
      </c>
      <c r="J143" s="178">
        <v>0</v>
      </c>
      <c r="N143" s="6" t="s">
        <v>221</v>
      </c>
      <c r="O143" s="6" t="s">
        <v>215</v>
      </c>
      <c r="P143" s="178">
        <v>0</v>
      </c>
      <c r="T143" s="6" t="s">
        <v>221</v>
      </c>
      <c r="U143" s="6" t="s">
        <v>215</v>
      </c>
      <c r="V143" s="178">
        <v>0</v>
      </c>
      <c r="Z143" s="6" t="s">
        <v>221</v>
      </c>
      <c r="AA143" s="6" t="s">
        <v>215</v>
      </c>
      <c r="AB143" s="178">
        <v>0</v>
      </c>
    </row>
    <row r="144" spans="2:28" hidden="1" x14ac:dyDescent="0.25">
      <c r="B144" s="6" t="s">
        <v>222</v>
      </c>
      <c r="C144" s="6" t="s">
        <v>215</v>
      </c>
      <c r="D144" s="178">
        <f t="shared" si="6"/>
        <v>0</v>
      </c>
      <c r="H144" s="6" t="s">
        <v>222</v>
      </c>
      <c r="I144" s="6" t="s">
        <v>215</v>
      </c>
      <c r="J144" s="178">
        <v>0</v>
      </c>
      <c r="N144" s="6" t="s">
        <v>222</v>
      </c>
      <c r="O144" s="6" t="s">
        <v>215</v>
      </c>
      <c r="P144" s="178">
        <v>0</v>
      </c>
      <c r="T144" s="6" t="s">
        <v>222</v>
      </c>
      <c r="U144" s="6" t="s">
        <v>215</v>
      </c>
      <c r="V144" s="178">
        <v>0</v>
      </c>
      <c r="Z144" s="6" t="s">
        <v>222</v>
      </c>
      <c r="AA144" s="6" t="s">
        <v>215</v>
      </c>
      <c r="AB144" s="178">
        <v>0</v>
      </c>
    </row>
    <row r="145" spans="2:28" hidden="1" x14ac:dyDescent="0.25">
      <c r="B145" s="6" t="s">
        <v>223</v>
      </c>
      <c r="C145" s="6" t="s">
        <v>215</v>
      </c>
      <c r="D145" s="178">
        <f t="shared" si="6"/>
        <v>0</v>
      </c>
      <c r="H145" s="6" t="s">
        <v>223</v>
      </c>
      <c r="I145" s="6" t="s">
        <v>215</v>
      </c>
      <c r="J145" s="178">
        <v>0</v>
      </c>
      <c r="N145" s="6" t="s">
        <v>223</v>
      </c>
      <c r="O145" s="6" t="s">
        <v>215</v>
      </c>
      <c r="P145" s="178">
        <v>0</v>
      </c>
      <c r="T145" s="6" t="s">
        <v>223</v>
      </c>
      <c r="U145" s="6" t="s">
        <v>215</v>
      </c>
      <c r="V145" s="178">
        <v>0</v>
      </c>
      <c r="Z145" s="6" t="s">
        <v>223</v>
      </c>
      <c r="AA145" s="6" t="s">
        <v>215</v>
      </c>
      <c r="AB145" s="178">
        <v>0</v>
      </c>
    </row>
    <row r="146" spans="2:28" hidden="1" x14ac:dyDescent="0.25">
      <c r="B146" s="6" t="s">
        <v>224</v>
      </c>
      <c r="C146" s="6" t="s">
        <v>212</v>
      </c>
      <c r="D146" s="178">
        <f t="shared" si="6"/>
        <v>0</v>
      </c>
      <c r="H146" s="6" t="s">
        <v>224</v>
      </c>
      <c r="I146" s="6" t="s">
        <v>212</v>
      </c>
      <c r="J146" s="178">
        <v>0</v>
      </c>
      <c r="N146" s="6" t="s">
        <v>224</v>
      </c>
      <c r="O146" s="6" t="s">
        <v>212</v>
      </c>
      <c r="P146" s="178">
        <v>0</v>
      </c>
      <c r="T146" s="6" t="s">
        <v>224</v>
      </c>
      <c r="U146" s="6" t="s">
        <v>212</v>
      </c>
      <c r="V146" s="178">
        <v>0</v>
      </c>
      <c r="Z146" s="6" t="s">
        <v>224</v>
      </c>
      <c r="AA146" s="6" t="s">
        <v>212</v>
      </c>
      <c r="AB146" s="178">
        <v>0</v>
      </c>
    </row>
    <row r="147" spans="2:28" hidden="1" x14ac:dyDescent="0.25"/>
    <row r="148" spans="2:28" hidden="1" x14ac:dyDescent="0.25"/>
    <row r="156" spans="2:28" ht="16.5" thickBot="1" x14ac:dyDescent="0.3">
      <c r="B156" s="16"/>
      <c r="C156" s="16"/>
      <c r="D156" s="17"/>
      <c r="H156" s="16"/>
      <c r="I156" s="16"/>
      <c r="J156" s="17"/>
      <c r="N156" s="16"/>
      <c r="O156" s="16"/>
      <c r="P156" s="17"/>
      <c r="T156" s="16"/>
      <c r="U156" s="16"/>
      <c r="V156" s="17"/>
      <c r="Z156" s="16"/>
      <c r="AA156" s="16"/>
      <c r="AB156" s="17"/>
    </row>
  </sheetData>
  <sheetProtection algorithmName="SHA-512" hashValue="ClOi4oyeytSYNOL5+S9mzntjwupwl0Gnv24dauCcxcJ+zNMUULtLSbEDQmNDlmxFJjBeMWYoU3aHC7580DxEbw==" saltValue="j05qiCSHawxRZ2PQBo1STQ==" spinCount="100000" sheet="1" objects="1" scenarios="1"/>
  <sortState xmlns:xlrd2="http://schemas.microsoft.com/office/spreadsheetml/2017/richdata2" ref="A6:E19">
    <sortCondition descending="1" ref="C6:C19"/>
  </sortState>
  <mergeCells count="15">
    <mergeCell ref="A1:C1"/>
    <mergeCell ref="D2:E2"/>
    <mergeCell ref="D3:E3"/>
    <mergeCell ref="Y1:AA1"/>
    <mergeCell ref="AB2:AC2"/>
    <mergeCell ref="AB3:AC3"/>
    <mergeCell ref="S1:U1"/>
    <mergeCell ref="V2:W2"/>
    <mergeCell ref="V3:W3"/>
    <mergeCell ref="M1:O1"/>
    <mergeCell ref="P2:Q2"/>
    <mergeCell ref="P3:Q3"/>
    <mergeCell ref="G1:I1"/>
    <mergeCell ref="J2:K2"/>
    <mergeCell ref="J3:K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58"/>
  <sheetViews>
    <sheetView zoomScale="85" zoomScaleNormal="85" workbookViewId="0">
      <pane xSplit="1" ySplit="4" topLeftCell="B5" activePane="bottomRight" state="frozen"/>
      <selection activeCell="D1" sqref="D1:D1048576"/>
      <selection pane="topRight" activeCell="D1" sqref="D1:D1048576"/>
      <selection pane="bottomLeft" activeCell="D1" sqref="D1:D1048576"/>
      <selection pane="bottomRight" activeCell="D1" sqref="D1:D1048576"/>
    </sheetView>
  </sheetViews>
  <sheetFormatPr defaultRowHeight="15.75" x14ac:dyDescent="0.25"/>
  <cols>
    <col min="1" max="1" width="10.77734375" style="5" customWidth="1"/>
    <col min="2" max="2" width="28.33203125" style="6" customWidth="1"/>
    <col min="3" max="3" width="12.77734375" style="6" customWidth="1"/>
    <col min="4" max="4" width="12.77734375" style="178" customWidth="1"/>
    <col min="5" max="5" width="14.77734375" style="178" customWidth="1"/>
    <col min="7" max="7" width="10.77734375" style="5" customWidth="1"/>
    <col min="8" max="8" width="28.33203125" style="6" customWidth="1"/>
    <col min="9" max="9" width="12.77734375" style="6" customWidth="1"/>
    <col min="10" max="10" width="12.77734375" style="178" customWidth="1"/>
    <col min="11" max="11" width="14.77734375" style="178" customWidth="1"/>
    <col min="13" max="13" width="10.77734375" style="5" customWidth="1"/>
    <col min="14" max="14" width="28.33203125" style="6" customWidth="1"/>
    <col min="15" max="15" width="12.77734375" style="6" customWidth="1"/>
    <col min="16" max="16" width="12.77734375" style="178" customWidth="1"/>
    <col min="17" max="17" width="14.77734375" style="178" customWidth="1"/>
    <col min="19" max="19" width="10.77734375" style="5" customWidth="1"/>
    <col min="20" max="20" width="28.33203125" style="6" customWidth="1"/>
    <col min="21" max="21" width="12.77734375" style="6" customWidth="1"/>
    <col min="22" max="22" width="12.77734375" style="178" customWidth="1"/>
    <col min="23" max="23" width="14.77734375" style="178" customWidth="1"/>
  </cols>
  <sheetData>
    <row r="1" spans="1:23" ht="19.5" thickTop="1" thickBot="1" x14ac:dyDescent="0.3">
      <c r="A1" s="272" t="s">
        <v>268</v>
      </c>
      <c r="B1" s="273"/>
      <c r="C1" s="274"/>
      <c r="D1" s="193">
        <v>44483</v>
      </c>
      <c r="G1" s="272" t="s">
        <v>315</v>
      </c>
      <c r="H1" s="273"/>
      <c r="I1" s="274"/>
      <c r="J1" s="193">
        <v>44453</v>
      </c>
      <c r="M1" s="272" t="s">
        <v>315</v>
      </c>
      <c r="N1" s="273"/>
      <c r="O1" s="274"/>
      <c r="P1" s="193">
        <v>44426</v>
      </c>
      <c r="S1" s="272" t="s">
        <v>315</v>
      </c>
      <c r="T1" s="273"/>
      <c r="U1" s="274"/>
      <c r="V1" s="193">
        <v>44326</v>
      </c>
    </row>
    <row r="2" spans="1:23" ht="17.25" thickTop="1" thickBot="1" x14ac:dyDescent="0.3">
      <c r="A2"/>
      <c r="B2" s="5"/>
      <c r="C2" s="38"/>
      <c r="D2" s="275" t="s">
        <v>228</v>
      </c>
      <c r="E2" s="276"/>
      <c r="G2"/>
      <c r="H2" s="5"/>
      <c r="I2" s="38"/>
      <c r="J2" s="275" t="s">
        <v>296</v>
      </c>
      <c r="K2" s="276"/>
      <c r="M2"/>
      <c r="N2" s="5"/>
      <c r="O2" s="38"/>
      <c r="P2" s="275" t="s">
        <v>296</v>
      </c>
      <c r="Q2" s="276"/>
      <c r="S2"/>
      <c r="T2" s="5"/>
      <c r="U2" s="38"/>
      <c r="V2" s="275" t="s">
        <v>296</v>
      </c>
      <c r="W2" s="276"/>
    </row>
    <row r="3" spans="1:23" ht="16.5" thickBot="1" x14ac:dyDescent="0.3">
      <c r="A3"/>
      <c r="B3" s="7"/>
      <c r="C3" s="38"/>
      <c r="D3" s="277" t="s">
        <v>250</v>
      </c>
      <c r="E3" s="278"/>
      <c r="G3"/>
      <c r="H3" s="7"/>
      <c r="I3" s="38"/>
      <c r="J3" s="277" t="s">
        <v>297</v>
      </c>
      <c r="K3" s="278"/>
      <c r="M3"/>
      <c r="N3" s="7"/>
      <c r="O3" s="38"/>
      <c r="P3" s="277" t="s">
        <v>297</v>
      </c>
      <c r="Q3" s="278"/>
      <c r="S3"/>
      <c r="T3" s="7"/>
      <c r="U3" s="38"/>
      <c r="V3" s="277" t="s">
        <v>297</v>
      </c>
      <c r="W3" s="278"/>
    </row>
    <row r="4" spans="1:23" ht="31.5" x14ac:dyDescent="0.25">
      <c r="A4" s="3" t="s">
        <v>0</v>
      </c>
      <c r="B4" s="3" t="s">
        <v>1</v>
      </c>
      <c r="C4" s="4" t="s">
        <v>2</v>
      </c>
      <c r="D4" s="4" t="s">
        <v>3</v>
      </c>
      <c r="E4" s="4" t="s">
        <v>4</v>
      </c>
      <c r="G4" s="3" t="s">
        <v>0</v>
      </c>
      <c r="H4" s="3" t="s">
        <v>1</v>
      </c>
      <c r="I4" s="4" t="s">
        <v>298</v>
      </c>
      <c r="J4" s="4" t="s">
        <v>299</v>
      </c>
      <c r="K4" s="4" t="s">
        <v>300</v>
      </c>
      <c r="M4" s="3" t="s">
        <v>0</v>
      </c>
      <c r="N4" s="3" t="s">
        <v>1</v>
      </c>
      <c r="O4" s="4" t="s">
        <v>298</v>
      </c>
      <c r="P4" s="4" t="s">
        <v>299</v>
      </c>
      <c r="Q4" s="4" t="s">
        <v>300</v>
      </c>
      <c r="S4" s="3" t="s">
        <v>0</v>
      </c>
      <c r="T4" s="3" t="s">
        <v>1</v>
      </c>
      <c r="U4" s="4" t="s">
        <v>298</v>
      </c>
      <c r="V4" s="4" t="s">
        <v>299</v>
      </c>
      <c r="W4" s="4" t="s">
        <v>300</v>
      </c>
    </row>
    <row r="5" spans="1:23" x14ac:dyDescent="0.25">
      <c r="B5" s="6" t="s">
        <v>5</v>
      </c>
      <c r="C5" s="8"/>
      <c r="D5" s="8"/>
      <c r="E5" s="10"/>
      <c r="H5" s="6" t="s">
        <v>5</v>
      </c>
      <c r="I5" s="8"/>
      <c r="J5" s="8"/>
      <c r="K5" s="10"/>
      <c r="N5" s="6" t="s">
        <v>5</v>
      </c>
      <c r="O5" s="8"/>
      <c r="P5" s="8"/>
      <c r="Q5" s="10"/>
      <c r="T5" s="6" t="s">
        <v>5</v>
      </c>
      <c r="U5" s="8"/>
      <c r="V5" s="8"/>
      <c r="W5" s="10"/>
    </row>
    <row r="6" spans="1:23" x14ac:dyDescent="0.25">
      <c r="A6" s="5">
        <v>11132</v>
      </c>
      <c r="B6" s="6" t="s">
        <v>16</v>
      </c>
      <c r="C6" s="8">
        <f t="shared" ref="C6:C15" si="0">D6*10</f>
        <v>628.08617000000004</v>
      </c>
      <c r="D6" s="8">
        <f t="shared" ref="D6:D15" si="1">IFERROR(VLOOKUP(A6,raw_1,9,FALSE),0)</f>
        <v>62.808616999999998</v>
      </c>
      <c r="E6" s="10">
        <f t="shared" ref="E6:E15" si="2">IF(ISNA(VLOOKUP(B6,RMP_MFH,2,FALSE)),"N/A",VLOOKUP(B6,RMP_MFH,2,FALSE))</f>
        <v>404</v>
      </c>
      <c r="G6" s="5">
        <v>14320</v>
      </c>
      <c r="H6" s="6" t="s">
        <v>269</v>
      </c>
      <c r="I6" s="8">
        <v>399.76703999999995</v>
      </c>
      <c r="J6" s="8">
        <v>39.976703999999998</v>
      </c>
      <c r="K6" s="10">
        <v>418</v>
      </c>
      <c r="M6" s="5">
        <v>14320</v>
      </c>
      <c r="N6" s="6" t="s">
        <v>269</v>
      </c>
      <c r="O6" s="8">
        <v>651.15</v>
      </c>
      <c r="P6" s="8">
        <v>65.114999999999995</v>
      </c>
      <c r="Q6" s="10">
        <v>404</v>
      </c>
      <c r="S6" s="5">
        <v>14320</v>
      </c>
      <c r="T6" s="6" t="s">
        <v>269</v>
      </c>
      <c r="U6" s="8">
        <v>617.91597999999999</v>
      </c>
      <c r="V6" s="8">
        <v>61.791598</v>
      </c>
      <c r="W6" s="10">
        <v>425</v>
      </c>
    </row>
    <row r="7" spans="1:23" x14ac:dyDescent="0.25">
      <c r="A7">
        <v>40060</v>
      </c>
      <c r="B7" s="6" t="s">
        <v>112</v>
      </c>
      <c r="C7" s="8">
        <f t="shared" si="0"/>
        <v>200</v>
      </c>
      <c r="D7" s="8">
        <f t="shared" si="1"/>
        <v>20</v>
      </c>
      <c r="E7" s="10">
        <f t="shared" si="2"/>
        <v>457</v>
      </c>
      <c r="G7" s="5">
        <v>10020</v>
      </c>
      <c r="H7" s="6" t="s">
        <v>17</v>
      </c>
      <c r="I7" s="8">
        <v>365</v>
      </c>
      <c r="J7" s="8">
        <v>36.5</v>
      </c>
      <c r="K7" s="10">
        <v>395</v>
      </c>
      <c r="M7" s="5">
        <v>22964</v>
      </c>
      <c r="N7" s="6" t="s">
        <v>270</v>
      </c>
      <c r="O7" s="8">
        <v>186</v>
      </c>
      <c r="P7" s="8">
        <v>18.600000000000001</v>
      </c>
      <c r="Q7" s="10">
        <v>380</v>
      </c>
      <c r="S7" s="5">
        <v>22964</v>
      </c>
      <c r="T7" s="6" t="s">
        <v>270</v>
      </c>
      <c r="U7" s="8">
        <v>266</v>
      </c>
      <c r="V7" s="8">
        <v>26.6</v>
      </c>
      <c r="W7" s="10">
        <v>350</v>
      </c>
    </row>
    <row r="8" spans="1:23" x14ac:dyDescent="0.25">
      <c r="A8" s="5">
        <v>20550</v>
      </c>
      <c r="B8" s="6" t="s">
        <v>109</v>
      </c>
      <c r="C8" s="8">
        <f t="shared" si="0"/>
        <v>150</v>
      </c>
      <c r="D8" s="8">
        <f t="shared" si="1"/>
        <v>15</v>
      </c>
      <c r="E8" s="10">
        <f t="shared" si="2"/>
        <v>450</v>
      </c>
      <c r="G8" s="5">
        <v>40060</v>
      </c>
      <c r="H8" s="6" t="s">
        <v>112</v>
      </c>
      <c r="I8" s="8">
        <v>168</v>
      </c>
      <c r="J8" s="8">
        <v>16.8</v>
      </c>
      <c r="K8" s="10">
        <v>390</v>
      </c>
      <c r="M8" s="5">
        <v>40060</v>
      </c>
      <c r="N8" s="6" t="s">
        <v>112</v>
      </c>
      <c r="O8" s="8">
        <v>89</v>
      </c>
      <c r="P8" s="8">
        <v>8.9</v>
      </c>
      <c r="Q8" s="10">
        <v>395</v>
      </c>
      <c r="S8" s="5">
        <v>40004</v>
      </c>
      <c r="T8" s="6" t="s">
        <v>15</v>
      </c>
      <c r="U8" s="8">
        <v>90.08402000000001</v>
      </c>
      <c r="V8" s="8">
        <v>9.0084020000000002</v>
      </c>
      <c r="W8" s="10">
        <v>460</v>
      </c>
    </row>
    <row r="9" spans="1:23" x14ac:dyDescent="0.25">
      <c r="A9" s="5">
        <v>60080</v>
      </c>
      <c r="B9" s="6" t="s">
        <v>273</v>
      </c>
      <c r="C9" s="8">
        <f t="shared" si="0"/>
        <v>9.5</v>
      </c>
      <c r="D9" s="8">
        <f t="shared" si="1"/>
        <v>0.95</v>
      </c>
      <c r="E9" s="10">
        <f t="shared" si="2"/>
        <v>132</v>
      </c>
      <c r="G9" s="5">
        <v>20550</v>
      </c>
      <c r="H9" s="6" t="s">
        <v>109</v>
      </c>
      <c r="I9" s="8">
        <v>46</v>
      </c>
      <c r="J9" s="8">
        <v>4.5999999999999996</v>
      </c>
      <c r="K9" s="10">
        <v>392</v>
      </c>
      <c r="M9" s="5">
        <v>20550</v>
      </c>
      <c r="N9" s="6" t="s">
        <v>109</v>
      </c>
      <c r="O9" s="8">
        <v>50</v>
      </c>
      <c r="P9" s="8">
        <v>5</v>
      </c>
      <c r="Q9" s="10">
        <v>386</v>
      </c>
      <c r="S9" s="5">
        <v>60080</v>
      </c>
      <c r="T9" s="6" t="s">
        <v>273</v>
      </c>
      <c r="U9" s="8">
        <v>11.5</v>
      </c>
      <c r="V9" s="8">
        <v>1.1499999999999999</v>
      </c>
      <c r="W9" s="10">
        <v>132</v>
      </c>
    </row>
    <row r="10" spans="1:23" x14ac:dyDescent="0.25">
      <c r="A10" s="5">
        <v>60700</v>
      </c>
      <c r="B10" s="6" t="s">
        <v>275</v>
      </c>
      <c r="C10" s="8">
        <f t="shared" si="0"/>
        <v>4.5</v>
      </c>
      <c r="D10" s="8">
        <f t="shared" si="1"/>
        <v>0.45</v>
      </c>
      <c r="E10" s="10">
        <f t="shared" si="2"/>
        <v>115</v>
      </c>
      <c r="G10" s="5">
        <v>60080</v>
      </c>
      <c r="H10" s="6" t="s">
        <v>273</v>
      </c>
      <c r="I10" s="8">
        <v>9</v>
      </c>
      <c r="J10" s="8">
        <v>0.9</v>
      </c>
      <c r="K10" s="10">
        <v>132</v>
      </c>
      <c r="M10" s="5">
        <v>60080</v>
      </c>
      <c r="N10" s="6" t="s">
        <v>273</v>
      </c>
      <c r="O10" s="8">
        <v>10.5</v>
      </c>
      <c r="P10" s="8">
        <v>1.05</v>
      </c>
      <c r="Q10" s="10">
        <v>110</v>
      </c>
      <c r="S10" s="5">
        <v>60700</v>
      </c>
      <c r="T10" s="6" t="s">
        <v>275</v>
      </c>
      <c r="U10" s="8">
        <v>5.5</v>
      </c>
      <c r="V10" s="8">
        <v>0.55000000000000004</v>
      </c>
      <c r="W10" s="10">
        <v>115</v>
      </c>
    </row>
    <row r="11" spans="1:23" x14ac:dyDescent="0.25">
      <c r="A11" s="5">
        <v>66069</v>
      </c>
      <c r="B11" s="6" t="s">
        <v>277</v>
      </c>
      <c r="C11" s="8">
        <f t="shared" si="0"/>
        <v>3.8138300000000003</v>
      </c>
      <c r="D11" s="8">
        <f t="shared" si="1"/>
        <v>0.38138300000000003</v>
      </c>
      <c r="E11" s="10">
        <f t="shared" si="2"/>
        <v>2610</v>
      </c>
      <c r="G11" s="5">
        <v>60700</v>
      </c>
      <c r="H11" s="6" t="s">
        <v>275</v>
      </c>
      <c r="I11" s="8">
        <v>5</v>
      </c>
      <c r="J11" s="8">
        <v>0.5</v>
      </c>
      <c r="K11" s="10">
        <v>115</v>
      </c>
      <c r="M11" s="5">
        <v>60700</v>
      </c>
      <c r="N11" s="6" t="s">
        <v>275</v>
      </c>
      <c r="O11" s="8">
        <v>5</v>
      </c>
      <c r="P11" s="8">
        <v>0.5</v>
      </c>
      <c r="Q11" s="10">
        <v>100</v>
      </c>
      <c r="S11" s="5">
        <v>66069</v>
      </c>
      <c r="T11" s="6" t="s">
        <v>277</v>
      </c>
      <c r="U11" s="8">
        <v>4</v>
      </c>
      <c r="V11" s="8">
        <v>0.4</v>
      </c>
      <c r="W11" s="10">
        <v>2100</v>
      </c>
    </row>
    <row r="12" spans="1:23" x14ac:dyDescent="0.25">
      <c r="A12" s="5">
        <v>91000</v>
      </c>
      <c r="B12" s="6" t="s">
        <v>306</v>
      </c>
      <c r="C12" s="8">
        <f t="shared" si="0"/>
        <v>3</v>
      </c>
      <c r="D12" s="8">
        <f t="shared" si="1"/>
        <v>0.3</v>
      </c>
      <c r="E12" s="10">
        <f t="shared" si="2"/>
        <v>2650</v>
      </c>
      <c r="G12" s="5">
        <v>66069</v>
      </c>
      <c r="H12" s="6" t="s">
        <v>277</v>
      </c>
      <c r="I12" s="8">
        <v>3.2329599999999998</v>
      </c>
      <c r="J12" s="8">
        <v>0.32329599999999997</v>
      </c>
      <c r="K12" s="10">
        <v>2195</v>
      </c>
      <c r="M12" s="5">
        <v>66069</v>
      </c>
      <c r="N12" s="6" t="s">
        <v>277</v>
      </c>
      <c r="O12" s="8">
        <v>4</v>
      </c>
      <c r="P12" s="8">
        <v>0.4</v>
      </c>
      <c r="Q12" s="10">
        <v>2050</v>
      </c>
      <c r="S12" s="5">
        <v>91000</v>
      </c>
      <c r="T12" s="6" t="s">
        <v>306</v>
      </c>
      <c r="U12" s="8">
        <v>3</v>
      </c>
      <c r="V12" s="8">
        <v>0.3</v>
      </c>
      <c r="W12" s="10">
        <v>2650</v>
      </c>
    </row>
    <row r="13" spans="1:23" x14ac:dyDescent="0.25">
      <c r="A13" s="5">
        <v>922556</v>
      </c>
      <c r="B13" s="6" t="s">
        <v>281</v>
      </c>
      <c r="C13" s="8">
        <f t="shared" si="0"/>
        <v>1</v>
      </c>
      <c r="D13" s="8">
        <f t="shared" si="1"/>
        <v>0.1</v>
      </c>
      <c r="E13" s="10">
        <f t="shared" si="2"/>
        <v>8400</v>
      </c>
      <c r="G13" s="5">
        <v>91000</v>
      </c>
      <c r="H13" s="6" t="s">
        <v>306</v>
      </c>
      <c r="I13" s="8">
        <v>3</v>
      </c>
      <c r="J13" s="8">
        <v>0.3</v>
      </c>
      <c r="K13" s="10">
        <v>2200</v>
      </c>
      <c r="M13" s="5">
        <v>91000</v>
      </c>
      <c r="N13" s="6" t="s">
        <v>306</v>
      </c>
      <c r="O13" s="8">
        <v>3</v>
      </c>
      <c r="P13" s="8">
        <v>0.3</v>
      </c>
      <c r="Q13" s="10">
        <v>2050</v>
      </c>
      <c r="S13" s="5">
        <v>922556</v>
      </c>
      <c r="T13" s="6" t="s">
        <v>281</v>
      </c>
      <c r="U13" s="8">
        <v>1</v>
      </c>
      <c r="V13" s="8">
        <v>0.1</v>
      </c>
      <c r="W13" s="10">
        <v>8400</v>
      </c>
    </row>
    <row r="14" spans="1:23" x14ac:dyDescent="0.25">
      <c r="A14" s="5">
        <v>66200</v>
      </c>
      <c r="B14" s="6" t="s">
        <v>14</v>
      </c>
      <c r="C14" s="8">
        <f t="shared" si="0"/>
        <v>0.1</v>
      </c>
      <c r="D14" s="8">
        <f t="shared" si="1"/>
        <v>0.01</v>
      </c>
      <c r="E14" s="10">
        <f t="shared" si="2"/>
        <v>13250</v>
      </c>
      <c r="G14" s="5">
        <v>922556</v>
      </c>
      <c r="H14" s="6" t="s">
        <v>281</v>
      </c>
      <c r="I14" s="8">
        <v>1</v>
      </c>
      <c r="J14" s="8">
        <v>0.1</v>
      </c>
      <c r="K14" s="10">
        <v>8400</v>
      </c>
      <c r="M14" s="5">
        <v>922556</v>
      </c>
      <c r="N14" s="6" t="s">
        <v>281</v>
      </c>
      <c r="O14" s="8">
        <v>1</v>
      </c>
      <c r="P14" s="8">
        <v>0.1</v>
      </c>
      <c r="Q14" s="10">
        <v>8400</v>
      </c>
      <c r="S14" s="5">
        <v>66300</v>
      </c>
      <c r="T14" s="6" t="s">
        <v>11</v>
      </c>
      <c r="U14" s="8">
        <v>0.85000000000000009</v>
      </c>
      <c r="V14" s="8">
        <v>8.5000000000000006E-2</v>
      </c>
      <c r="W14" s="10">
        <v>3200</v>
      </c>
    </row>
    <row r="15" spans="1:23" x14ac:dyDescent="0.25">
      <c r="A15" s="5">
        <v>14320</v>
      </c>
      <c r="B15" s="6" t="s">
        <v>269</v>
      </c>
      <c r="C15" s="8">
        <f t="shared" si="0"/>
        <v>0</v>
      </c>
      <c r="D15" s="8">
        <f t="shared" si="1"/>
        <v>0</v>
      </c>
      <c r="E15" s="10">
        <f t="shared" si="2"/>
        <v>468</v>
      </c>
      <c r="G15" s="5">
        <v>66300</v>
      </c>
      <c r="H15" s="6" t="s">
        <v>11</v>
      </c>
      <c r="I15" s="8">
        <v>0</v>
      </c>
      <c r="J15" s="8">
        <v>0</v>
      </c>
      <c r="K15" s="10">
        <v>13750</v>
      </c>
      <c r="M15" s="5">
        <v>66300</v>
      </c>
      <c r="N15" s="6" t="s">
        <v>11</v>
      </c>
      <c r="O15" s="8">
        <v>0.35000000000000003</v>
      </c>
      <c r="P15" s="8">
        <v>3.5000000000000003E-2</v>
      </c>
      <c r="Q15" s="10">
        <v>3300</v>
      </c>
      <c r="S15" s="5">
        <v>66100</v>
      </c>
      <c r="T15" s="6" t="s">
        <v>13</v>
      </c>
      <c r="U15" s="8">
        <v>0.15</v>
      </c>
      <c r="V15" s="8">
        <v>1.4999999999999999E-2</v>
      </c>
      <c r="W15" s="10">
        <v>4525</v>
      </c>
    </row>
    <row r="16" spans="1:23" x14ac:dyDescent="0.25">
      <c r="C16" s="8"/>
      <c r="D16" s="8"/>
      <c r="E16" s="10"/>
      <c r="I16" s="8"/>
      <c r="J16" s="8"/>
      <c r="K16" s="10"/>
      <c r="O16" s="8"/>
      <c r="P16" s="8"/>
      <c r="Q16" s="10"/>
      <c r="U16" s="8"/>
      <c r="V16" s="8"/>
      <c r="W16" s="10"/>
    </row>
    <row r="17" spans="2:23" x14ac:dyDescent="0.25">
      <c r="C17" s="8"/>
      <c r="D17" s="8"/>
      <c r="E17" s="10"/>
      <c r="I17" s="8"/>
      <c r="J17" s="8"/>
      <c r="K17" s="10"/>
      <c r="O17" s="8"/>
      <c r="P17" s="8"/>
      <c r="Q17" s="10"/>
      <c r="U17" s="8"/>
      <c r="V17" s="8"/>
      <c r="W17" s="10"/>
    </row>
    <row r="18" spans="2:23" x14ac:dyDescent="0.25">
      <c r="C18" s="8"/>
      <c r="D18" s="8"/>
      <c r="E18" s="10"/>
      <c r="I18" s="8"/>
      <c r="J18" s="8"/>
      <c r="K18" s="10"/>
      <c r="O18" s="8"/>
      <c r="P18" s="8"/>
      <c r="Q18" s="10"/>
      <c r="U18" s="8"/>
      <c r="V18" s="8"/>
      <c r="W18" s="10"/>
    </row>
    <row r="19" spans="2:23" x14ac:dyDescent="0.25">
      <c r="C19" s="8"/>
      <c r="D19" s="8"/>
      <c r="E19" s="10"/>
      <c r="I19" s="8"/>
      <c r="J19" s="8"/>
      <c r="K19" s="10"/>
      <c r="O19" s="8"/>
      <c r="P19" s="8"/>
      <c r="Q19" s="10"/>
      <c r="U19" s="8"/>
      <c r="V19" s="8"/>
      <c r="W19" s="10"/>
    </row>
    <row r="20" spans="2:23" x14ac:dyDescent="0.25">
      <c r="C20" s="8"/>
      <c r="D20" s="8"/>
      <c r="E20" s="10"/>
      <c r="I20" s="8"/>
      <c r="J20" s="8"/>
      <c r="K20" s="10"/>
      <c r="O20" s="8"/>
      <c r="P20" s="8"/>
      <c r="Q20" s="10"/>
      <c r="U20" s="8"/>
      <c r="V20" s="8"/>
      <c r="W20" s="10"/>
    </row>
    <row r="21" spans="2:23" x14ac:dyDescent="0.25">
      <c r="C21" s="8"/>
      <c r="D21" s="8"/>
      <c r="E21" s="10"/>
      <c r="I21" s="8"/>
      <c r="J21" s="8"/>
      <c r="K21" s="10"/>
      <c r="O21" s="8"/>
      <c r="P21" s="8"/>
      <c r="Q21" s="10"/>
      <c r="U21" s="8"/>
      <c r="V21" s="8"/>
      <c r="W21" s="10"/>
    </row>
    <row r="22" spans="2:23" x14ac:dyDescent="0.25">
      <c r="C22" s="8"/>
      <c r="D22" s="8"/>
      <c r="E22" s="10"/>
      <c r="I22" s="8"/>
      <c r="J22" s="8"/>
      <c r="K22" s="10"/>
      <c r="O22" s="8"/>
      <c r="P22" s="8"/>
      <c r="Q22" s="10"/>
      <c r="U22" s="8"/>
      <c r="V22" s="8"/>
      <c r="W22" s="10"/>
    </row>
    <row r="23" spans="2:23" x14ac:dyDescent="0.25">
      <c r="C23" s="8"/>
      <c r="D23" s="8"/>
      <c r="E23" s="10"/>
      <c r="I23" s="8"/>
      <c r="J23" s="8"/>
      <c r="K23" s="10"/>
      <c r="O23" s="8"/>
      <c r="P23" s="8"/>
      <c r="Q23" s="10"/>
      <c r="U23" s="8"/>
      <c r="V23" s="8"/>
      <c r="W23" s="10"/>
    </row>
    <row r="24" spans="2:23" ht="16.5" thickBot="1" x14ac:dyDescent="0.3">
      <c r="B24" s="11" t="s">
        <v>6</v>
      </c>
      <c r="C24" s="12">
        <f>SUM(C6:C23)</f>
        <v>1000.0000000000001</v>
      </c>
      <c r="D24" s="13">
        <f>SUM(D6:D23)</f>
        <v>100</v>
      </c>
      <c r="E24" s="37" cm="1">
        <f t="array" ref="E24">SUMPRODUCT(C6:C23,E6:E23/1000)</f>
        <v>442.04740898</v>
      </c>
      <c r="H24" s="11" t="s">
        <v>6</v>
      </c>
      <c r="I24" s="12">
        <v>1000</v>
      </c>
      <c r="J24" s="13">
        <v>99.999999999999986</v>
      </c>
      <c r="K24" s="37">
        <v>418.68896991999992</v>
      </c>
      <c r="N24" s="11" t="s">
        <v>6</v>
      </c>
      <c r="O24" s="12">
        <v>1000</v>
      </c>
      <c r="P24" s="13">
        <v>100</v>
      </c>
      <c r="Q24" s="37">
        <v>413.75959999999986</v>
      </c>
      <c r="T24" s="11" t="s">
        <v>6</v>
      </c>
      <c r="U24" s="12">
        <v>1000</v>
      </c>
      <c r="V24" s="13">
        <v>100</v>
      </c>
      <c r="W24" s="37">
        <v>427.45219069999985</v>
      </c>
    </row>
    <row r="25" spans="2:23" x14ac:dyDescent="0.25">
      <c r="C25"/>
      <c r="D25"/>
      <c r="E25" s="201">
        <f>E24-K24</f>
        <v>23.35843906000008</v>
      </c>
      <c r="I25"/>
      <c r="J25"/>
      <c r="K25" s="201">
        <v>4.929369920000056</v>
      </c>
      <c r="O25"/>
      <c r="P25"/>
      <c r="Q25" s="201">
        <v>-13.692590699999982</v>
      </c>
      <c r="U25"/>
      <c r="V25"/>
      <c r="W25" s="201"/>
    </row>
    <row r="26" spans="2:23" ht="16.5" thickBot="1" x14ac:dyDescent="0.3">
      <c r="C26"/>
      <c r="D26"/>
      <c r="E26"/>
      <c r="I26"/>
      <c r="J26"/>
      <c r="K26"/>
      <c r="O26"/>
      <c r="P26"/>
      <c r="Q26"/>
      <c r="U26"/>
      <c r="V26"/>
      <c r="W26"/>
    </row>
    <row r="27" spans="2:23" x14ac:dyDescent="0.25">
      <c r="B27" s="14" t="s">
        <v>7</v>
      </c>
      <c r="C27" s="14" t="s">
        <v>8</v>
      </c>
      <c r="D27" s="14" t="s">
        <v>9</v>
      </c>
      <c r="E27"/>
      <c r="H27" s="14" t="s">
        <v>7</v>
      </c>
      <c r="I27" s="14" t="s">
        <v>8</v>
      </c>
      <c r="J27" s="14" t="s">
        <v>9</v>
      </c>
      <c r="K27"/>
      <c r="N27" s="14" t="s">
        <v>7</v>
      </c>
      <c r="O27" s="14" t="s">
        <v>8</v>
      </c>
      <c r="P27" s="14" t="s">
        <v>9</v>
      </c>
      <c r="Q27"/>
      <c r="T27" s="14" t="s">
        <v>7</v>
      </c>
      <c r="U27" s="14" t="s">
        <v>8</v>
      </c>
      <c r="V27" s="14" t="s">
        <v>9</v>
      </c>
      <c r="W27"/>
    </row>
    <row r="28" spans="2:23" x14ac:dyDescent="0.25">
      <c r="B28" s="6" t="s">
        <v>18</v>
      </c>
      <c r="C28" s="6" t="s">
        <v>19</v>
      </c>
      <c r="D28" s="178">
        <f t="shared" ref="D28:D59" si="3">IFERROR(VLOOKUP(B28,raw_2,8,FALSE),0)</f>
        <v>100</v>
      </c>
      <c r="H28" s="6" t="s">
        <v>18</v>
      </c>
      <c r="I28" s="6" t="s">
        <v>19</v>
      </c>
      <c r="J28" s="178">
        <v>100</v>
      </c>
      <c r="N28" s="6" t="s">
        <v>18</v>
      </c>
      <c r="O28" s="6" t="s">
        <v>19</v>
      </c>
      <c r="P28" s="178">
        <v>100</v>
      </c>
      <c r="T28" s="6" t="s">
        <v>18</v>
      </c>
      <c r="U28" s="6" t="s">
        <v>19</v>
      </c>
      <c r="V28" s="178">
        <v>100</v>
      </c>
    </row>
    <row r="29" spans="2:23" x14ac:dyDescent="0.25">
      <c r="B29" s="6" t="s">
        <v>20</v>
      </c>
      <c r="C29" s="6" t="s">
        <v>19</v>
      </c>
      <c r="D29" s="178">
        <f t="shared" si="3"/>
        <v>87.892415</v>
      </c>
      <c r="H29" s="6" t="s">
        <v>20</v>
      </c>
      <c r="I29" s="6" t="s">
        <v>19</v>
      </c>
      <c r="J29" s="178">
        <v>88.095975999999993</v>
      </c>
      <c r="N29" s="6" t="s">
        <v>20</v>
      </c>
      <c r="O29" s="6" t="s">
        <v>19</v>
      </c>
      <c r="P29" s="178">
        <v>88.549350000000004</v>
      </c>
      <c r="T29" s="6" t="s">
        <v>20</v>
      </c>
      <c r="U29" s="6" t="s">
        <v>19</v>
      </c>
      <c r="V29" s="178">
        <v>88.395865999999998</v>
      </c>
    </row>
    <row r="30" spans="2:23" x14ac:dyDescent="0.25">
      <c r="B30" s="6" t="s">
        <v>21</v>
      </c>
      <c r="C30" s="6" t="s">
        <v>19</v>
      </c>
      <c r="D30" s="178">
        <f t="shared" si="3"/>
        <v>16.903451</v>
      </c>
      <c r="H30" s="6" t="s">
        <v>21</v>
      </c>
      <c r="I30" s="6" t="s">
        <v>19</v>
      </c>
      <c r="J30" s="178">
        <v>16.373657000000001</v>
      </c>
      <c r="N30" s="6" t="s">
        <v>21</v>
      </c>
      <c r="O30" s="6" t="s">
        <v>19</v>
      </c>
      <c r="P30" s="178">
        <v>16.130714999999999</v>
      </c>
      <c r="T30" s="6" t="s">
        <v>21</v>
      </c>
      <c r="U30" s="6" t="s">
        <v>19</v>
      </c>
      <c r="V30" s="178">
        <v>14.629296999999999</v>
      </c>
    </row>
    <row r="31" spans="2:23" x14ac:dyDescent="0.25">
      <c r="B31" s="6" t="s">
        <v>22</v>
      </c>
      <c r="C31" s="6" t="s">
        <v>19</v>
      </c>
      <c r="D31" s="178">
        <f t="shared" si="3"/>
        <v>4.3781270000000001</v>
      </c>
      <c r="H31" s="6" t="s">
        <v>22</v>
      </c>
      <c r="I31" s="6" t="s">
        <v>19</v>
      </c>
      <c r="J31" s="178">
        <v>2.3726340000000001</v>
      </c>
      <c r="N31" s="6" t="s">
        <v>22</v>
      </c>
      <c r="O31" s="6" t="s">
        <v>19</v>
      </c>
      <c r="P31" s="178">
        <v>2.7015950000000002</v>
      </c>
      <c r="T31" s="6" t="s">
        <v>22</v>
      </c>
      <c r="U31" s="6" t="s">
        <v>19</v>
      </c>
      <c r="V31" s="178">
        <v>2.4020450000000002</v>
      </c>
    </row>
    <row r="32" spans="2:23" x14ac:dyDescent="0.25">
      <c r="B32" s="15" t="s">
        <v>23</v>
      </c>
      <c r="C32" s="15" t="s">
        <v>19</v>
      </c>
      <c r="D32" s="179">
        <f t="shared" si="3"/>
        <v>5.1044070000000001</v>
      </c>
      <c r="H32" s="15" t="s">
        <v>23</v>
      </c>
      <c r="I32" s="15" t="s">
        <v>19</v>
      </c>
      <c r="J32" s="179">
        <v>4.7967740000000001</v>
      </c>
      <c r="N32" s="15" t="s">
        <v>23</v>
      </c>
      <c r="O32" s="15" t="s">
        <v>19</v>
      </c>
      <c r="P32" s="179">
        <v>4.7490300000000003</v>
      </c>
      <c r="T32" s="15" t="s">
        <v>23</v>
      </c>
      <c r="U32" s="15" t="s">
        <v>19</v>
      </c>
      <c r="V32" s="179">
        <v>4.5657329999999998</v>
      </c>
    </row>
    <row r="33" spans="1:23" x14ac:dyDescent="0.25">
      <c r="B33" s="6" t="s">
        <v>24</v>
      </c>
      <c r="C33" s="6" t="s">
        <v>19</v>
      </c>
      <c r="D33" s="178">
        <f t="shared" si="3"/>
        <v>4.3527630000000004</v>
      </c>
      <c r="H33" s="6" t="s">
        <v>24</v>
      </c>
      <c r="I33" s="6" t="s">
        <v>19</v>
      </c>
      <c r="J33" s="178">
        <v>4.4375689999999999</v>
      </c>
      <c r="N33" s="6" t="s">
        <v>24</v>
      </c>
      <c r="O33" s="6" t="s">
        <v>19</v>
      </c>
      <c r="P33" s="178">
        <v>4.5459500000000004</v>
      </c>
      <c r="T33" s="6" t="s">
        <v>24</v>
      </c>
      <c r="U33" s="6" t="s">
        <v>19</v>
      </c>
      <c r="V33" s="178">
        <v>4.417109</v>
      </c>
    </row>
    <row r="34" spans="1:23" x14ac:dyDescent="0.25">
      <c r="B34" s="6" t="s">
        <v>25</v>
      </c>
      <c r="C34" s="6" t="s">
        <v>19</v>
      </c>
      <c r="D34" s="178">
        <f t="shared" si="3"/>
        <v>12.107585</v>
      </c>
      <c r="H34" s="6" t="s">
        <v>25</v>
      </c>
      <c r="I34" s="6" t="s">
        <v>19</v>
      </c>
      <c r="J34" s="178">
        <v>11.904024</v>
      </c>
      <c r="N34" s="6" t="s">
        <v>25</v>
      </c>
      <c r="O34" s="6" t="s">
        <v>19</v>
      </c>
      <c r="P34" s="178">
        <v>11.45065</v>
      </c>
      <c r="T34" s="6" t="s">
        <v>25</v>
      </c>
      <c r="U34" s="6" t="s">
        <v>19</v>
      </c>
      <c r="V34" s="178">
        <v>11.604134</v>
      </c>
    </row>
    <row r="35" spans="1:23" x14ac:dyDescent="0.25">
      <c r="B35" s="6" t="s">
        <v>178</v>
      </c>
      <c r="C35" s="6" t="s">
        <v>19</v>
      </c>
      <c r="D35" s="178">
        <f t="shared" si="3"/>
        <v>57.156717999999998</v>
      </c>
      <c r="H35" s="6" t="s">
        <v>178</v>
      </c>
      <c r="I35" s="6" t="s">
        <v>19</v>
      </c>
      <c r="J35" s="178">
        <v>60.117927999999999</v>
      </c>
      <c r="N35" s="6" t="s">
        <v>178</v>
      </c>
      <c r="O35" s="6" t="s">
        <v>19</v>
      </c>
      <c r="P35" s="178">
        <v>60.425260000000002</v>
      </c>
      <c r="T35" s="6" t="s">
        <v>178</v>
      </c>
      <c r="U35" s="6" t="s">
        <v>19</v>
      </c>
      <c r="V35" s="178">
        <v>62.384881</v>
      </c>
    </row>
    <row r="36" spans="1:23" x14ac:dyDescent="0.25">
      <c r="B36" s="6" t="s">
        <v>26</v>
      </c>
      <c r="C36" s="6" t="s">
        <v>19</v>
      </c>
      <c r="D36" s="178">
        <f t="shared" si="3"/>
        <v>15.990095999999999</v>
      </c>
      <c r="H36" s="6" t="s">
        <v>26</v>
      </c>
      <c r="I36" s="6" t="s">
        <v>19</v>
      </c>
      <c r="J36" s="178">
        <v>17.527215000000002</v>
      </c>
      <c r="N36" s="6" t="s">
        <v>26</v>
      </c>
      <c r="O36" s="6" t="s">
        <v>19</v>
      </c>
      <c r="P36" s="178">
        <v>17.872145</v>
      </c>
      <c r="T36" s="6" t="s">
        <v>26</v>
      </c>
      <c r="U36" s="6" t="s">
        <v>19</v>
      </c>
      <c r="V36" s="178">
        <v>17.361183</v>
      </c>
    </row>
    <row r="37" spans="1:23" x14ac:dyDescent="0.25">
      <c r="B37" s="6" t="s">
        <v>27</v>
      </c>
      <c r="C37" s="6" t="s">
        <v>19</v>
      </c>
      <c r="D37" s="178">
        <f t="shared" si="3"/>
        <v>7.0550670000000002</v>
      </c>
      <c r="H37" s="6" t="s">
        <v>27</v>
      </c>
      <c r="I37" s="6" t="s">
        <v>19</v>
      </c>
      <c r="J37" s="178">
        <v>6.6490210000000003</v>
      </c>
      <c r="N37" s="6" t="s">
        <v>27</v>
      </c>
      <c r="O37" s="6" t="s">
        <v>19</v>
      </c>
      <c r="P37" s="178">
        <v>5.74376</v>
      </c>
      <c r="T37" s="6" t="s">
        <v>27</v>
      </c>
      <c r="U37" s="6" t="s">
        <v>19</v>
      </c>
      <c r="V37" s="178">
        <v>5.2297650000000004</v>
      </c>
    </row>
    <row r="38" spans="1:23" x14ac:dyDescent="0.25">
      <c r="B38" s="6" t="s">
        <v>179</v>
      </c>
      <c r="C38" s="6" t="s">
        <v>19</v>
      </c>
      <c r="D38" s="178">
        <f t="shared" si="3"/>
        <v>21.190854000000002</v>
      </c>
      <c r="H38" s="6" t="s">
        <v>179</v>
      </c>
      <c r="I38" s="6" t="s">
        <v>19</v>
      </c>
      <c r="J38" s="178">
        <v>16.713578999999999</v>
      </c>
      <c r="N38" s="6" t="s">
        <v>179</v>
      </c>
      <c r="O38" s="6" t="s">
        <v>19</v>
      </c>
      <c r="P38" s="178">
        <v>19.488987000000002</v>
      </c>
      <c r="T38" s="6" t="s">
        <v>179</v>
      </c>
      <c r="U38" s="6" t="s">
        <v>19</v>
      </c>
      <c r="V38" s="178">
        <v>19.161152999999999</v>
      </c>
    </row>
    <row r="39" spans="1:23" x14ac:dyDescent="0.25">
      <c r="B39" s="6" t="s">
        <v>28</v>
      </c>
      <c r="C39" s="6" t="s">
        <v>19</v>
      </c>
      <c r="D39" s="178">
        <f t="shared" si="3"/>
        <v>40.505015</v>
      </c>
      <c r="H39" s="6" t="s">
        <v>28</v>
      </c>
      <c r="I39" s="6" t="s">
        <v>19</v>
      </c>
      <c r="J39" s="178">
        <v>41.341324</v>
      </c>
      <c r="N39" s="6" t="s">
        <v>28</v>
      </c>
      <c r="O39" s="6" t="s">
        <v>19</v>
      </c>
      <c r="P39" s="178">
        <v>40.463554999999999</v>
      </c>
      <c r="T39" s="6" t="s">
        <v>28</v>
      </c>
      <c r="U39" s="6" t="s">
        <v>19</v>
      </c>
      <c r="V39" s="178">
        <v>43.783197000000001</v>
      </c>
    </row>
    <row r="40" spans="1:23" x14ac:dyDescent="0.25">
      <c r="B40" s="6" t="s">
        <v>180</v>
      </c>
      <c r="C40" s="6" t="s">
        <v>19</v>
      </c>
      <c r="D40" s="178">
        <f t="shared" si="3"/>
        <v>2.5803419999999999</v>
      </c>
      <c r="H40" s="6" t="s">
        <v>180</v>
      </c>
      <c r="I40" s="6" t="s">
        <v>19</v>
      </c>
      <c r="J40" s="178">
        <v>3.1876739999999999</v>
      </c>
      <c r="N40" s="6" t="s">
        <v>180</v>
      </c>
      <c r="O40" s="6" t="s">
        <v>19</v>
      </c>
      <c r="P40" s="178">
        <v>3.6234999999999999</v>
      </c>
      <c r="T40" s="6" t="s">
        <v>180</v>
      </c>
      <c r="U40" s="6" t="s">
        <v>19</v>
      </c>
      <c r="V40" s="178">
        <v>3.6792029999999998</v>
      </c>
    </row>
    <row r="41" spans="1:23" x14ac:dyDescent="0.25">
      <c r="B41" s="6" t="s">
        <v>119</v>
      </c>
      <c r="C41" s="6" t="s">
        <v>19</v>
      </c>
      <c r="D41" s="178">
        <f t="shared" si="3"/>
        <v>0</v>
      </c>
      <c r="H41" s="6" t="s">
        <v>119</v>
      </c>
      <c r="I41" s="6" t="s">
        <v>19</v>
      </c>
      <c r="J41" s="178">
        <v>0</v>
      </c>
      <c r="N41" s="6" t="s">
        <v>119</v>
      </c>
      <c r="O41" s="6" t="s">
        <v>19</v>
      </c>
      <c r="P41" s="178">
        <v>0</v>
      </c>
      <c r="T41" s="6" t="s">
        <v>119</v>
      </c>
      <c r="U41" s="6" t="s">
        <v>19</v>
      </c>
      <c r="V41" s="178">
        <v>0</v>
      </c>
    </row>
    <row r="42" spans="1:23" x14ac:dyDescent="0.25">
      <c r="B42" s="6" t="s">
        <v>29</v>
      </c>
      <c r="C42" s="6" t="s">
        <v>30</v>
      </c>
      <c r="D42" s="178">
        <f t="shared" si="3"/>
        <v>3.2999800000000001</v>
      </c>
      <c r="H42" s="6" t="s">
        <v>29</v>
      </c>
      <c r="I42" s="6" t="s">
        <v>30</v>
      </c>
      <c r="J42" s="178">
        <v>3.1846709999999998</v>
      </c>
      <c r="N42" s="6" t="s">
        <v>29</v>
      </c>
      <c r="O42" s="6" t="s">
        <v>30</v>
      </c>
      <c r="P42" s="178">
        <v>3.1502500000000002</v>
      </c>
      <c r="T42" s="6" t="s">
        <v>29</v>
      </c>
      <c r="U42" s="6" t="s">
        <v>30</v>
      </c>
      <c r="V42" s="178">
        <v>3.1018400000000002</v>
      </c>
    </row>
    <row r="43" spans="1:23" x14ac:dyDescent="0.25">
      <c r="B43" s="6" t="s">
        <v>31</v>
      </c>
      <c r="C43" s="6" t="s">
        <v>30</v>
      </c>
      <c r="D43" s="178">
        <f t="shared" si="3"/>
        <v>3.1716440000000001</v>
      </c>
      <c r="H43" s="6" t="s">
        <v>31</v>
      </c>
      <c r="I43" s="6" t="s">
        <v>30</v>
      </c>
      <c r="J43" s="178">
        <v>3.052181</v>
      </c>
      <c r="N43" s="6" t="s">
        <v>31</v>
      </c>
      <c r="O43" s="6" t="s">
        <v>30</v>
      </c>
      <c r="P43" s="178">
        <v>3.0234220000000001</v>
      </c>
      <c r="T43" s="6" t="s">
        <v>31</v>
      </c>
      <c r="U43" s="6" t="s">
        <v>30</v>
      </c>
      <c r="V43" s="178">
        <v>2.9836</v>
      </c>
    </row>
    <row r="44" spans="1:23" x14ac:dyDescent="0.25">
      <c r="B44" s="15" t="s">
        <v>32</v>
      </c>
      <c r="C44" s="15" t="s">
        <v>30</v>
      </c>
      <c r="D44" s="179">
        <f t="shared" si="3"/>
        <v>2.3627069999999999</v>
      </c>
      <c r="H44" s="15" t="s">
        <v>32</v>
      </c>
      <c r="I44" s="15" t="s">
        <v>30</v>
      </c>
      <c r="J44" s="179">
        <v>2.2500019999999998</v>
      </c>
      <c r="N44" s="15" t="s">
        <v>32</v>
      </c>
      <c r="O44" s="15" t="s">
        <v>30</v>
      </c>
      <c r="P44" s="179">
        <v>2.2484989999999998</v>
      </c>
      <c r="T44" s="15" t="s">
        <v>32</v>
      </c>
      <c r="U44" s="15" t="s">
        <v>30</v>
      </c>
      <c r="V44" s="179">
        <v>2.2493820000000002</v>
      </c>
    </row>
    <row r="45" spans="1:23" x14ac:dyDescent="0.25">
      <c r="B45" s="6" t="s">
        <v>33</v>
      </c>
      <c r="C45" s="6" t="s">
        <v>30</v>
      </c>
      <c r="D45" s="178">
        <f t="shared" si="3"/>
        <v>2.4528439999999998</v>
      </c>
      <c r="H45" s="6" t="s">
        <v>33</v>
      </c>
      <c r="I45" s="6" t="s">
        <v>30</v>
      </c>
      <c r="J45" s="178">
        <v>2.300754</v>
      </c>
      <c r="N45" s="6" t="s">
        <v>33</v>
      </c>
      <c r="O45" s="6" t="s">
        <v>30</v>
      </c>
      <c r="P45" s="178">
        <v>2.3066749999999998</v>
      </c>
      <c r="T45" s="6" t="s">
        <v>33</v>
      </c>
      <c r="U45" s="6" t="s">
        <v>30</v>
      </c>
      <c r="V45" s="178">
        <v>2.3042189999999998</v>
      </c>
    </row>
    <row r="46" spans="1:23" x14ac:dyDescent="0.25">
      <c r="B46" s="15" t="s">
        <v>34</v>
      </c>
      <c r="C46" s="15" t="s">
        <v>19</v>
      </c>
      <c r="D46" s="179">
        <f t="shared" si="3"/>
        <v>0.52856199999999998</v>
      </c>
      <c r="H46" s="15" t="s">
        <v>34</v>
      </c>
      <c r="I46" s="15" t="s">
        <v>19</v>
      </c>
      <c r="J46" s="179">
        <v>0.51110800000000001</v>
      </c>
      <c r="N46" s="15" t="s">
        <v>34</v>
      </c>
      <c r="O46" s="15" t="s">
        <v>19</v>
      </c>
      <c r="P46" s="179">
        <v>0.52828799999999998</v>
      </c>
      <c r="T46" s="15" t="s">
        <v>34</v>
      </c>
      <c r="U46" s="15" t="s">
        <v>19</v>
      </c>
      <c r="V46" s="179">
        <v>0.52392799999999995</v>
      </c>
    </row>
    <row r="47" spans="1:23" s="36" customFormat="1" x14ac:dyDescent="0.25">
      <c r="A47" s="35"/>
      <c r="B47" s="18" t="s">
        <v>225</v>
      </c>
      <c r="C47" s="18" t="s">
        <v>19</v>
      </c>
      <c r="D47" s="180">
        <f t="shared" si="3"/>
        <v>0</v>
      </c>
      <c r="E47" s="180"/>
      <c r="G47" s="35"/>
      <c r="H47" s="18" t="s">
        <v>225</v>
      </c>
      <c r="I47" s="18" t="s">
        <v>19</v>
      </c>
      <c r="J47" s="180">
        <v>0</v>
      </c>
      <c r="K47" s="180"/>
      <c r="M47" s="35"/>
      <c r="N47" s="18" t="s">
        <v>225</v>
      </c>
      <c r="O47" s="18" t="s">
        <v>19</v>
      </c>
      <c r="P47" s="180">
        <v>0</v>
      </c>
      <c r="Q47" s="180"/>
      <c r="S47" s="35"/>
      <c r="T47" s="18" t="s">
        <v>225</v>
      </c>
      <c r="U47" s="18" t="s">
        <v>19</v>
      </c>
      <c r="V47" s="180">
        <v>0</v>
      </c>
      <c r="W47" s="180"/>
    </row>
    <row r="48" spans="1:23" s="36" customFormat="1" x14ac:dyDescent="0.25">
      <c r="A48" s="35"/>
      <c r="B48" s="18" t="s">
        <v>226</v>
      </c>
      <c r="C48" s="18" t="s">
        <v>19</v>
      </c>
      <c r="D48" s="180">
        <f t="shared" si="3"/>
        <v>0</v>
      </c>
      <c r="E48" s="180"/>
      <c r="G48" s="35"/>
      <c r="H48" s="18" t="s">
        <v>226</v>
      </c>
      <c r="I48" s="18" t="s">
        <v>19</v>
      </c>
      <c r="J48" s="180">
        <v>0</v>
      </c>
      <c r="K48" s="180"/>
      <c r="M48" s="35"/>
      <c r="N48" s="18" t="s">
        <v>226</v>
      </c>
      <c r="O48" s="18" t="s">
        <v>19</v>
      </c>
      <c r="P48" s="180">
        <v>0</v>
      </c>
      <c r="Q48" s="180"/>
      <c r="S48" s="35"/>
      <c r="T48" s="18" t="s">
        <v>226</v>
      </c>
      <c r="U48" s="18" t="s">
        <v>19</v>
      </c>
      <c r="V48" s="180">
        <v>0</v>
      </c>
      <c r="W48" s="180"/>
    </row>
    <row r="49" spans="2:23" x14ac:dyDescent="0.25">
      <c r="B49" s="6" t="s">
        <v>35</v>
      </c>
      <c r="C49" s="6" t="s">
        <v>19</v>
      </c>
      <c r="D49" s="178">
        <f t="shared" si="3"/>
        <v>0.47643099999999999</v>
      </c>
      <c r="H49" s="6" t="s">
        <v>35</v>
      </c>
      <c r="I49" s="6" t="s">
        <v>19</v>
      </c>
      <c r="J49" s="178">
        <v>0.475221</v>
      </c>
      <c r="N49" s="6" t="s">
        <v>35</v>
      </c>
      <c r="O49" s="6" t="s">
        <v>19</v>
      </c>
      <c r="P49" s="178">
        <v>0.521621</v>
      </c>
      <c r="T49" s="6" t="s">
        <v>35</v>
      </c>
      <c r="U49" s="6" t="s">
        <v>19</v>
      </c>
      <c r="V49" s="178">
        <v>0.488458</v>
      </c>
    </row>
    <row r="50" spans="2:23" x14ac:dyDescent="0.25">
      <c r="B50" s="15" t="s">
        <v>36</v>
      </c>
      <c r="C50" s="15" t="s">
        <v>19</v>
      </c>
      <c r="D50" s="179">
        <f t="shared" si="3"/>
        <v>0.268125</v>
      </c>
      <c r="H50" s="15" t="s">
        <v>36</v>
      </c>
      <c r="I50" s="15" t="s">
        <v>19</v>
      </c>
      <c r="J50" s="179">
        <v>0.27107500000000001</v>
      </c>
      <c r="N50" s="15" t="s">
        <v>36</v>
      </c>
      <c r="O50" s="15" t="s">
        <v>19</v>
      </c>
      <c r="P50" s="179">
        <v>0.28976200000000002</v>
      </c>
      <c r="T50" s="15" t="s">
        <v>36</v>
      </c>
      <c r="U50" s="15" t="s">
        <v>19</v>
      </c>
      <c r="V50" s="179">
        <v>0.27287299999999998</v>
      </c>
    </row>
    <row r="51" spans="2:23" x14ac:dyDescent="0.25">
      <c r="B51" s="6" t="s">
        <v>37</v>
      </c>
      <c r="C51" s="6" t="s">
        <v>19</v>
      </c>
      <c r="D51" s="178">
        <f t="shared" si="3"/>
        <v>0.247168</v>
      </c>
      <c r="H51" s="6" t="s">
        <v>37</v>
      </c>
      <c r="I51" s="6" t="s">
        <v>19</v>
      </c>
      <c r="J51" s="178">
        <v>0.23491000000000001</v>
      </c>
      <c r="N51" s="6" t="s">
        <v>37</v>
      </c>
      <c r="O51" s="6" t="s">
        <v>19</v>
      </c>
      <c r="P51" s="178">
        <v>0.23611199999999999</v>
      </c>
      <c r="T51" s="6" t="s">
        <v>37</v>
      </c>
      <c r="U51" s="6" t="s">
        <v>19</v>
      </c>
      <c r="V51" s="178">
        <v>0.216754</v>
      </c>
    </row>
    <row r="52" spans="2:23" x14ac:dyDescent="0.25">
      <c r="B52" s="6" t="s">
        <v>38</v>
      </c>
      <c r="C52" s="6" t="s">
        <v>19</v>
      </c>
      <c r="D52" s="178">
        <f t="shared" si="3"/>
        <v>0.28574500000000003</v>
      </c>
      <c r="H52" s="6" t="s">
        <v>38</v>
      </c>
      <c r="I52" s="6" t="s">
        <v>19</v>
      </c>
      <c r="J52" s="178">
        <v>0.30559500000000001</v>
      </c>
      <c r="N52" s="6" t="s">
        <v>38</v>
      </c>
      <c r="O52" s="6" t="s">
        <v>19</v>
      </c>
      <c r="P52" s="178">
        <v>0.36592599999999997</v>
      </c>
      <c r="T52" s="6" t="s">
        <v>38</v>
      </c>
      <c r="U52" s="6" t="s">
        <v>19</v>
      </c>
      <c r="V52" s="178">
        <v>0.35945500000000002</v>
      </c>
    </row>
    <row r="53" spans="2:23" x14ac:dyDescent="0.25">
      <c r="B53" s="6" t="s">
        <v>39</v>
      </c>
      <c r="C53" s="6" t="s">
        <v>19</v>
      </c>
      <c r="D53" s="178">
        <f t="shared" si="3"/>
        <v>0.31030600000000003</v>
      </c>
      <c r="H53" s="6" t="s">
        <v>39</v>
      </c>
      <c r="I53" s="6" t="s">
        <v>19</v>
      </c>
      <c r="J53" s="178">
        <v>0.30614599999999997</v>
      </c>
      <c r="N53" s="6" t="s">
        <v>39</v>
      </c>
      <c r="O53" s="6" t="s">
        <v>19</v>
      </c>
      <c r="P53" s="178">
        <v>0.33385900000000002</v>
      </c>
      <c r="T53" s="6" t="s">
        <v>39</v>
      </c>
      <c r="U53" s="6" t="s">
        <v>19</v>
      </c>
      <c r="V53" s="178">
        <v>0.31758500000000001</v>
      </c>
    </row>
    <row r="54" spans="2:23" x14ac:dyDescent="0.25">
      <c r="B54" s="15" t="s">
        <v>40</v>
      </c>
      <c r="C54" s="15" t="s">
        <v>19</v>
      </c>
      <c r="D54" s="179">
        <f t="shared" si="3"/>
        <v>0.10199999999999999</v>
      </c>
      <c r="H54" s="15" t="s">
        <v>40</v>
      </c>
      <c r="I54" s="15" t="s">
        <v>19</v>
      </c>
      <c r="J54" s="179">
        <v>0.10199999999999999</v>
      </c>
      <c r="N54" s="15" t="s">
        <v>40</v>
      </c>
      <c r="O54" s="15" t="s">
        <v>19</v>
      </c>
      <c r="P54" s="179">
        <v>0.10199999999999999</v>
      </c>
      <c r="T54" s="15" t="s">
        <v>40</v>
      </c>
      <c r="U54" s="15" t="s">
        <v>19</v>
      </c>
      <c r="V54" s="179">
        <v>0.10199999999999999</v>
      </c>
    </row>
    <row r="55" spans="2:23" x14ac:dyDescent="0.25">
      <c r="B55" s="6" t="s">
        <v>41</v>
      </c>
      <c r="C55" s="6" t="s">
        <v>19</v>
      </c>
      <c r="D55" s="178">
        <f t="shared" si="3"/>
        <v>9.1800000000000007E-2</v>
      </c>
      <c r="H55" s="6" t="s">
        <v>41</v>
      </c>
      <c r="I55" s="6" t="s">
        <v>19</v>
      </c>
      <c r="J55" s="178">
        <v>9.1800000000000007E-2</v>
      </c>
      <c r="N55" s="6" t="s">
        <v>41</v>
      </c>
      <c r="O55" s="6" t="s">
        <v>19</v>
      </c>
      <c r="P55" s="178">
        <v>9.1800000000000007E-2</v>
      </c>
      <c r="T55" s="6" t="s">
        <v>41</v>
      </c>
      <c r="U55" s="6" t="s">
        <v>19</v>
      </c>
      <c r="V55" s="178">
        <v>9.1800000000000007E-2</v>
      </c>
    </row>
    <row r="56" spans="2:23" x14ac:dyDescent="0.25">
      <c r="B56" s="6" t="s">
        <v>42</v>
      </c>
      <c r="C56" s="6" t="s">
        <v>19</v>
      </c>
      <c r="D56" s="178">
        <f t="shared" si="3"/>
        <v>9.3840000000000007E-2</v>
      </c>
      <c r="H56" s="6" t="s">
        <v>42</v>
      </c>
      <c r="I56" s="6" t="s">
        <v>19</v>
      </c>
      <c r="J56" s="178">
        <v>9.3840000000000007E-2</v>
      </c>
      <c r="N56" s="6" t="s">
        <v>42</v>
      </c>
      <c r="O56" s="6" t="s">
        <v>19</v>
      </c>
      <c r="P56" s="178">
        <v>9.3840000000000007E-2</v>
      </c>
      <c r="T56" s="6" t="s">
        <v>42</v>
      </c>
      <c r="U56" s="6" t="s">
        <v>19</v>
      </c>
      <c r="V56" s="178">
        <v>9.3840000000000007E-2</v>
      </c>
    </row>
    <row r="57" spans="2:23" x14ac:dyDescent="0.25">
      <c r="B57" s="15" t="s">
        <v>43</v>
      </c>
      <c r="C57" s="15" t="s">
        <v>44</v>
      </c>
      <c r="D57" s="183">
        <f t="shared" si="3"/>
        <v>500</v>
      </c>
      <c r="E57" s="184"/>
      <c r="H57" s="15" t="s">
        <v>43</v>
      </c>
      <c r="I57" s="15" t="s">
        <v>44</v>
      </c>
      <c r="J57" s="183">
        <v>500</v>
      </c>
      <c r="K57" s="184"/>
      <c r="N57" s="15" t="s">
        <v>43</v>
      </c>
      <c r="O57" s="15" t="s">
        <v>44</v>
      </c>
      <c r="P57" s="183">
        <v>500</v>
      </c>
      <c r="Q57" s="184"/>
      <c r="T57" s="15" t="s">
        <v>43</v>
      </c>
      <c r="U57" s="15" t="s">
        <v>44</v>
      </c>
      <c r="V57" s="183">
        <v>500</v>
      </c>
      <c r="W57" s="184"/>
    </row>
    <row r="58" spans="2:23" x14ac:dyDescent="0.25">
      <c r="B58" s="176" t="s">
        <v>45</v>
      </c>
      <c r="C58" s="176" t="s">
        <v>46</v>
      </c>
      <c r="D58" s="182">
        <f t="shared" si="3"/>
        <v>1.1094200000000001</v>
      </c>
      <c r="H58" s="176" t="s">
        <v>45</v>
      </c>
      <c r="I58" s="176" t="s">
        <v>46</v>
      </c>
      <c r="J58" s="182">
        <v>1.075518</v>
      </c>
      <c r="N58" s="176" t="s">
        <v>45</v>
      </c>
      <c r="O58" s="176" t="s">
        <v>46</v>
      </c>
      <c r="P58" s="182">
        <v>1.01278</v>
      </c>
      <c r="T58" s="176" t="s">
        <v>45</v>
      </c>
      <c r="U58" s="176" t="s">
        <v>46</v>
      </c>
      <c r="V58" s="182">
        <v>1.072616</v>
      </c>
    </row>
    <row r="59" spans="2:23" x14ac:dyDescent="0.25">
      <c r="B59" s="6" t="s">
        <v>47</v>
      </c>
      <c r="C59" s="6" t="s">
        <v>46</v>
      </c>
      <c r="D59" s="178">
        <f t="shared" si="3"/>
        <v>1.971325</v>
      </c>
      <c r="H59" s="6" t="s">
        <v>47</v>
      </c>
      <c r="I59" s="6" t="s">
        <v>46</v>
      </c>
      <c r="J59" s="178">
        <v>1.8854869999999999</v>
      </c>
      <c r="N59" s="6" t="s">
        <v>47</v>
      </c>
      <c r="O59" s="6" t="s">
        <v>46</v>
      </c>
      <c r="P59" s="178">
        <v>1.823175</v>
      </c>
      <c r="T59" s="6" t="s">
        <v>47</v>
      </c>
      <c r="U59" s="6" t="s">
        <v>46</v>
      </c>
      <c r="V59" s="178">
        <v>1.920045</v>
      </c>
    </row>
    <row r="60" spans="2:23" x14ac:dyDescent="0.25">
      <c r="B60" s="6" t="s">
        <v>48</v>
      </c>
      <c r="C60" s="6" t="s">
        <v>46</v>
      </c>
      <c r="D60" s="178">
        <f t="shared" ref="D60:D91" si="4">IFERROR(VLOOKUP(B60,raw_2,8,FALSE),0)</f>
        <v>2.1384690000000002</v>
      </c>
      <c r="H60" s="6" t="s">
        <v>48</v>
      </c>
      <c r="I60" s="6" t="s">
        <v>46</v>
      </c>
      <c r="J60" s="178">
        <v>2.1757610000000001</v>
      </c>
      <c r="N60" s="6" t="s">
        <v>48</v>
      </c>
      <c r="O60" s="6" t="s">
        <v>46</v>
      </c>
      <c r="P60" s="178">
        <v>2.2374420000000002</v>
      </c>
      <c r="T60" s="6" t="s">
        <v>48</v>
      </c>
      <c r="U60" s="6" t="s">
        <v>46</v>
      </c>
      <c r="V60" s="178">
        <v>2.4171529999999999</v>
      </c>
    </row>
    <row r="61" spans="2:23" x14ac:dyDescent="0.25">
      <c r="B61" s="6" t="s">
        <v>181</v>
      </c>
      <c r="C61" s="6" t="s">
        <v>46</v>
      </c>
      <c r="D61" s="178">
        <f t="shared" si="4"/>
        <v>1.8497669999999999</v>
      </c>
      <c r="H61" s="6" t="s">
        <v>181</v>
      </c>
      <c r="I61" s="6" t="s">
        <v>46</v>
      </c>
      <c r="J61" s="178">
        <v>1.672504</v>
      </c>
      <c r="N61" s="6" t="s">
        <v>181</v>
      </c>
      <c r="O61" s="6" t="s">
        <v>46</v>
      </c>
      <c r="P61" s="178">
        <v>1.443702</v>
      </c>
      <c r="T61" s="6" t="s">
        <v>181</v>
      </c>
      <c r="U61" s="6" t="s">
        <v>46</v>
      </c>
      <c r="V61" s="178">
        <v>1.4575610000000001</v>
      </c>
    </row>
    <row r="62" spans="2:23" x14ac:dyDescent="0.25">
      <c r="B62" s="15" t="s">
        <v>49</v>
      </c>
      <c r="C62" s="15" t="s">
        <v>19</v>
      </c>
      <c r="D62" s="179">
        <f t="shared" si="4"/>
        <v>0.22729099999999999</v>
      </c>
      <c r="H62" s="15" t="s">
        <v>49</v>
      </c>
      <c r="I62" s="15" t="s">
        <v>19</v>
      </c>
      <c r="J62" s="179">
        <v>0.22636800000000001</v>
      </c>
      <c r="N62" s="15" t="s">
        <v>49</v>
      </c>
      <c r="O62" s="15" t="s">
        <v>19</v>
      </c>
      <c r="P62" s="179">
        <v>0.22337199999999999</v>
      </c>
      <c r="T62" s="15" t="s">
        <v>49</v>
      </c>
      <c r="U62" s="15" t="s">
        <v>19</v>
      </c>
      <c r="V62" s="179">
        <v>0.22969000000000001</v>
      </c>
    </row>
    <row r="63" spans="2:23" x14ac:dyDescent="0.25">
      <c r="B63" s="6" t="s">
        <v>50</v>
      </c>
      <c r="C63" s="6" t="s">
        <v>19</v>
      </c>
      <c r="D63" s="178">
        <f t="shared" si="4"/>
        <v>0.69152800000000003</v>
      </c>
      <c r="H63" s="6" t="s">
        <v>50</v>
      </c>
      <c r="I63" s="6" t="s">
        <v>19</v>
      </c>
      <c r="J63" s="178">
        <v>0.65984799999999999</v>
      </c>
      <c r="N63" s="6" t="s">
        <v>50</v>
      </c>
      <c r="O63" s="6" t="s">
        <v>19</v>
      </c>
      <c r="P63" s="178">
        <v>0.71876200000000001</v>
      </c>
      <c r="T63" s="6" t="s">
        <v>50</v>
      </c>
      <c r="U63" s="6" t="s">
        <v>19</v>
      </c>
      <c r="V63" s="178">
        <v>0.696376</v>
      </c>
    </row>
    <row r="64" spans="2:23" x14ac:dyDescent="0.25">
      <c r="B64" s="6" t="s">
        <v>51</v>
      </c>
      <c r="C64" s="6" t="s">
        <v>19</v>
      </c>
      <c r="D64" s="178">
        <f t="shared" si="4"/>
        <v>0.34206300000000001</v>
      </c>
      <c r="H64" s="6" t="s">
        <v>51</v>
      </c>
      <c r="I64" s="6" t="s">
        <v>19</v>
      </c>
      <c r="J64" s="178">
        <v>0.39584599999999998</v>
      </c>
      <c r="N64" s="6" t="s">
        <v>51</v>
      </c>
      <c r="O64" s="6" t="s">
        <v>19</v>
      </c>
      <c r="P64" s="178">
        <v>0.368369</v>
      </c>
      <c r="T64" s="6" t="s">
        <v>51</v>
      </c>
      <c r="U64" s="6" t="s">
        <v>19</v>
      </c>
      <c r="V64" s="178">
        <v>0.38966099999999998</v>
      </c>
    </row>
    <row r="65" spans="2:22" x14ac:dyDescent="0.25">
      <c r="B65" s="6" t="s">
        <v>52</v>
      </c>
      <c r="C65" s="6" t="s">
        <v>19</v>
      </c>
      <c r="D65" s="178">
        <f t="shared" si="4"/>
        <v>0.192884</v>
      </c>
      <c r="H65" s="6" t="s">
        <v>52</v>
      </c>
      <c r="I65" s="6" t="s">
        <v>19</v>
      </c>
      <c r="J65" s="178">
        <v>0.184697</v>
      </c>
      <c r="N65" s="6" t="s">
        <v>52</v>
      </c>
      <c r="O65" s="6" t="s">
        <v>19</v>
      </c>
      <c r="P65" s="178">
        <v>0.23418600000000001</v>
      </c>
      <c r="T65" s="6" t="s">
        <v>52</v>
      </c>
      <c r="U65" s="6" t="s">
        <v>19</v>
      </c>
      <c r="V65" s="178">
        <v>0.23733499999999999</v>
      </c>
    </row>
    <row r="66" spans="2:22" x14ac:dyDescent="0.25">
      <c r="B66" s="6" t="s">
        <v>53</v>
      </c>
      <c r="C66" s="6" t="s">
        <v>19</v>
      </c>
      <c r="D66" s="178">
        <f t="shared" si="4"/>
        <v>0.35891800000000001</v>
      </c>
      <c r="H66" s="6" t="s">
        <v>53</v>
      </c>
      <c r="I66" s="6" t="s">
        <v>19</v>
      </c>
      <c r="J66" s="178">
        <v>0.31045899999999998</v>
      </c>
      <c r="N66" s="6" t="s">
        <v>53</v>
      </c>
      <c r="O66" s="6" t="s">
        <v>19</v>
      </c>
      <c r="P66" s="178">
        <v>0.278003</v>
      </c>
      <c r="T66" s="6" t="s">
        <v>53</v>
      </c>
      <c r="U66" s="6" t="s">
        <v>19</v>
      </c>
      <c r="V66" s="178">
        <v>0.20655200000000001</v>
      </c>
    </row>
    <row r="67" spans="2:22" x14ac:dyDescent="0.25">
      <c r="B67" s="15" t="s">
        <v>182</v>
      </c>
      <c r="C67" s="15" t="s">
        <v>19</v>
      </c>
      <c r="D67" s="179">
        <f t="shared" si="4"/>
        <v>0.57542000000000004</v>
      </c>
      <c r="H67" s="15" t="s">
        <v>182</v>
      </c>
      <c r="I67" s="15" t="s">
        <v>19</v>
      </c>
      <c r="J67" s="179">
        <v>0.57308199999999998</v>
      </c>
      <c r="N67" s="15" t="s">
        <v>182</v>
      </c>
      <c r="O67" s="15" t="s">
        <v>19</v>
      </c>
      <c r="P67" s="179">
        <v>0.56549700000000003</v>
      </c>
      <c r="T67" s="15" t="s">
        <v>182</v>
      </c>
      <c r="U67" s="15" t="s">
        <v>19</v>
      </c>
      <c r="V67" s="179">
        <v>0.58149499999999998</v>
      </c>
    </row>
    <row r="68" spans="2:22" x14ac:dyDescent="0.25">
      <c r="B68" s="6" t="s">
        <v>183</v>
      </c>
      <c r="C68" s="6" t="s">
        <v>184</v>
      </c>
      <c r="D68" s="178">
        <f t="shared" si="4"/>
        <v>-25.333214999999999</v>
      </c>
      <c r="H68" s="6" t="s">
        <v>183</v>
      </c>
      <c r="I68" s="6" t="s">
        <v>184</v>
      </c>
      <c r="J68" s="178">
        <v>-21.652507</v>
      </c>
      <c r="N68" s="6" t="s">
        <v>183</v>
      </c>
      <c r="O68" s="6" t="s">
        <v>184</v>
      </c>
      <c r="P68" s="178">
        <v>23.932032</v>
      </c>
      <c r="T68" s="6" t="s">
        <v>183</v>
      </c>
      <c r="U68" s="6" t="s">
        <v>184</v>
      </c>
      <c r="V68" s="178">
        <v>61.527377000000001</v>
      </c>
    </row>
    <row r="69" spans="2:22" x14ac:dyDescent="0.25">
      <c r="B69" s="6" t="s">
        <v>54</v>
      </c>
      <c r="C69" s="6" t="s">
        <v>19</v>
      </c>
      <c r="D69" s="178">
        <f t="shared" si="4"/>
        <v>0.88507000000000002</v>
      </c>
      <c r="H69" s="6" t="s">
        <v>54</v>
      </c>
      <c r="I69" s="6" t="s">
        <v>19</v>
      </c>
      <c r="J69" s="178">
        <v>0.81836900000000001</v>
      </c>
      <c r="N69" s="6" t="s">
        <v>54</v>
      </c>
      <c r="O69" s="6" t="s">
        <v>19</v>
      </c>
      <c r="P69" s="178">
        <v>0.79233100000000001</v>
      </c>
      <c r="T69" s="6" t="s">
        <v>54</v>
      </c>
      <c r="U69" s="6" t="s">
        <v>19</v>
      </c>
      <c r="V69" s="178">
        <v>0.76172099999999998</v>
      </c>
    </row>
    <row r="70" spans="2:22" x14ac:dyDescent="0.25">
      <c r="B70" s="15" t="s">
        <v>55</v>
      </c>
      <c r="C70" s="15" t="s">
        <v>19</v>
      </c>
      <c r="D70" s="179">
        <f t="shared" si="4"/>
        <v>0.697241</v>
      </c>
      <c r="H70" s="15" t="s">
        <v>55</v>
      </c>
      <c r="I70" s="15" t="s">
        <v>19</v>
      </c>
      <c r="J70" s="179">
        <v>0.66400099999999995</v>
      </c>
      <c r="N70" s="15" t="s">
        <v>55</v>
      </c>
      <c r="O70" s="15" t="s">
        <v>19</v>
      </c>
      <c r="P70" s="179">
        <v>0.66413800000000001</v>
      </c>
      <c r="T70" s="15" t="s">
        <v>55</v>
      </c>
      <c r="U70" s="15" t="s">
        <v>19</v>
      </c>
      <c r="V70" s="179">
        <v>0.66357600000000005</v>
      </c>
    </row>
    <row r="71" spans="2:22" x14ac:dyDescent="0.25">
      <c r="B71" s="15" t="s">
        <v>56</v>
      </c>
      <c r="C71" s="15" t="s">
        <v>46</v>
      </c>
      <c r="D71" s="179">
        <f t="shared" si="4"/>
        <v>0.38614599999999999</v>
      </c>
      <c r="H71" s="15" t="s">
        <v>56</v>
      </c>
      <c r="I71" s="15" t="s">
        <v>46</v>
      </c>
      <c r="J71" s="179">
        <v>0.35927199999999998</v>
      </c>
      <c r="N71" s="15" t="s">
        <v>56</v>
      </c>
      <c r="O71" s="15" t="s">
        <v>46</v>
      </c>
      <c r="P71" s="179">
        <v>0.34265000000000001</v>
      </c>
      <c r="T71" s="15" t="s">
        <v>56</v>
      </c>
      <c r="U71" s="15" t="s">
        <v>46</v>
      </c>
      <c r="V71" s="179">
        <v>0.28829500000000002</v>
      </c>
    </row>
    <row r="72" spans="2:22" x14ac:dyDescent="0.25">
      <c r="B72" s="6" t="s">
        <v>57</v>
      </c>
      <c r="C72" s="6" t="s">
        <v>46</v>
      </c>
      <c r="D72" s="178">
        <f t="shared" si="4"/>
        <v>0.37373699999999999</v>
      </c>
      <c r="H72" s="6" t="s">
        <v>57</v>
      </c>
      <c r="I72" s="6" t="s">
        <v>46</v>
      </c>
      <c r="J72" s="178">
        <v>0.425709</v>
      </c>
      <c r="N72" s="6" t="s">
        <v>57</v>
      </c>
      <c r="O72" s="6" t="s">
        <v>46</v>
      </c>
      <c r="P72" s="178">
        <v>0.41932199999999997</v>
      </c>
      <c r="T72" s="6" t="s">
        <v>57</v>
      </c>
      <c r="U72" s="6" t="s">
        <v>46</v>
      </c>
      <c r="V72" s="178">
        <v>0.35639599999999999</v>
      </c>
    </row>
    <row r="73" spans="2:22" x14ac:dyDescent="0.25">
      <c r="B73" s="15" t="s">
        <v>58</v>
      </c>
      <c r="C73" s="15" t="s">
        <v>46</v>
      </c>
      <c r="D73" s="179">
        <f t="shared" si="4"/>
        <v>0.75988299999999998</v>
      </c>
      <c r="H73" s="15" t="s">
        <v>58</v>
      </c>
      <c r="I73" s="15" t="s">
        <v>46</v>
      </c>
      <c r="J73" s="179">
        <v>0.78498000000000001</v>
      </c>
      <c r="N73" s="15" t="s">
        <v>58</v>
      </c>
      <c r="O73" s="15" t="s">
        <v>46</v>
      </c>
      <c r="P73" s="179">
        <v>0.76197199999999998</v>
      </c>
      <c r="T73" s="15" t="s">
        <v>58</v>
      </c>
      <c r="U73" s="15" t="s">
        <v>46</v>
      </c>
      <c r="V73" s="179">
        <v>0.64469100000000001</v>
      </c>
    </row>
    <row r="74" spans="2:22" x14ac:dyDescent="0.25">
      <c r="B74" s="15" t="s">
        <v>59</v>
      </c>
      <c r="C74" s="15" t="s">
        <v>46</v>
      </c>
      <c r="D74" s="179">
        <f t="shared" si="4"/>
        <v>0.659161</v>
      </c>
      <c r="H74" s="15" t="s">
        <v>59</v>
      </c>
      <c r="I74" s="15" t="s">
        <v>46</v>
      </c>
      <c r="J74" s="179">
        <v>0.65011300000000005</v>
      </c>
      <c r="N74" s="15" t="s">
        <v>59</v>
      </c>
      <c r="O74" s="15" t="s">
        <v>46</v>
      </c>
      <c r="P74" s="179">
        <v>0.65075300000000003</v>
      </c>
      <c r="T74" s="15" t="s">
        <v>59</v>
      </c>
      <c r="U74" s="15" t="s">
        <v>46</v>
      </c>
      <c r="V74" s="179">
        <v>0.65161599999999997</v>
      </c>
    </row>
    <row r="75" spans="2:22" x14ac:dyDescent="0.25">
      <c r="B75" s="15" t="s">
        <v>60</v>
      </c>
      <c r="C75" s="15" t="s">
        <v>46</v>
      </c>
      <c r="D75" s="179">
        <f t="shared" si="4"/>
        <v>0.18972</v>
      </c>
      <c r="H75" s="15" t="s">
        <v>60</v>
      </c>
      <c r="I75" s="15" t="s">
        <v>46</v>
      </c>
      <c r="J75" s="179">
        <v>0.23158799999999999</v>
      </c>
      <c r="N75" s="15" t="s">
        <v>60</v>
      </c>
      <c r="O75" s="15" t="s">
        <v>46</v>
      </c>
      <c r="P75" s="179">
        <v>0.23263200000000001</v>
      </c>
      <c r="T75" s="15" t="s">
        <v>60</v>
      </c>
      <c r="U75" s="15" t="s">
        <v>46</v>
      </c>
      <c r="V75" s="179">
        <v>0.20832700000000001</v>
      </c>
    </row>
    <row r="76" spans="2:22" x14ac:dyDescent="0.25">
      <c r="B76" s="15" t="s">
        <v>61</v>
      </c>
      <c r="C76" s="15" t="s">
        <v>46</v>
      </c>
      <c r="D76" s="179">
        <f t="shared" si="4"/>
        <v>0.68107700000000004</v>
      </c>
      <c r="H76" s="15" t="s">
        <v>61</v>
      </c>
      <c r="I76" s="15" t="s">
        <v>46</v>
      </c>
      <c r="J76" s="179">
        <v>0.70860900000000004</v>
      </c>
      <c r="N76" s="15" t="s">
        <v>61</v>
      </c>
      <c r="O76" s="15" t="s">
        <v>46</v>
      </c>
      <c r="P76" s="179">
        <v>0.68638900000000003</v>
      </c>
      <c r="T76" s="15" t="s">
        <v>61</v>
      </c>
      <c r="U76" s="15" t="s">
        <v>46</v>
      </c>
      <c r="V76" s="179">
        <v>0.62831899999999996</v>
      </c>
    </row>
    <row r="77" spans="2:22" x14ac:dyDescent="0.25">
      <c r="B77" s="15" t="s">
        <v>62</v>
      </c>
      <c r="C77" s="15" t="s">
        <v>46</v>
      </c>
      <c r="D77" s="179">
        <f t="shared" si="4"/>
        <v>0.88741999999999999</v>
      </c>
      <c r="H77" s="15" t="s">
        <v>62</v>
      </c>
      <c r="I77" s="15" t="s">
        <v>46</v>
      </c>
      <c r="J77" s="179">
        <v>0.90243399999999996</v>
      </c>
      <c r="N77" s="15" t="s">
        <v>62</v>
      </c>
      <c r="O77" s="15" t="s">
        <v>46</v>
      </c>
      <c r="P77" s="179">
        <v>0.88291900000000001</v>
      </c>
      <c r="T77" s="15" t="s">
        <v>62</v>
      </c>
      <c r="U77" s="15" t="s">
        <v>46</v>
      </c>
      <c r="V77" s="179">
        <v>0.80098599999999998</v>
      </c>
    </row>
    <row r="78" spans="2:22" x14ac:dyDescent="0.25">
      <c r="B78" s="6" t="s">
        <v>63</v>
      </c>
      <c r="C78" s="6" t="s">
        <v>46</v>
      </c>
      <c r="D78" s="178">
        <f t="shared" si="4"/>
        <v>1.89286</v>
      </c>
      <c r="H78" s="6" t="s">
        <v>63</v>
      </c>
      <c r="I78" s="6" t="s">
        <v>46</v>
      </c>
      <c r="J78" s="178">
        <v>1.4253800000000001</v>
      </c>
      <c r="N78" s="6" t="s">
        <v>63</v>
      </c>
      <c r="O78" s="6" t="s">
        <v>46</v>
      </c>
      <c r="P78" s="178">
        <v>1.406501</v>
      </c>
      <c r="T78" s="6" t="s">
        <v>63</v>
      </c>
      <c r="U78" s="6" t="s">
        <v>46</v>
      </c>
      <c r="V78" s="178">
        <v>1.2083330000000001</v>
      </c>
    </row>
    <row r="79" spans="2:22" x14ac:dyDescent="0.25">
      <c r="B79" s="6" t="s">
        <v>64</v>
      </c>
      <c r="C79" s="6" t="s">
        <v>46</v>
      </c>
      <c r="D79" s="178">
        <f t="shared" si="4"/>
        <v>1.0377970000000001</v>
      </c>
      <c r="H79" s="6" t="s">
        <v>64</v>
      </c>
      <c r="I79" s="6" t="s">
        <v>46</v>
      </c>
      <c r="J79" s="178">
        <v>1.088713</v>
      </c>
      <c r="N79" s="6" t="s">
        <v>64</v>
      </c>
      <c r="O79" s="6" t="s">
        <v>46</v>
      </c>
      <c r="P79" s="178">
        <v>1.126755</v>
      </c>
      <c r="T79" s="6" t="s">
        <v>64</v>
      </c>
      <c r="U79" s="6" t="s">
        <v>46</v>
      </c>
      <c r="V79" s="178">
        <v>1.1640839999999999</v>
      </c>
    </row>
    <row r="80" spans="2:22" x14ac:dyDescent="0.25">
      <c r="B80" s="6" t="s">
        <v>65</v>
      </c>
      <c r="C80" s="6" t="s">
        <v>46</v>
      </c>
      <c r="D80" s="178">
        <f t="shared" si="4"/>
        <v>0.52581100000000003</v>
      </c>
      <c r="H80" s="6" t="s">
        <v>65</v>
      </c>
      <c r="I80" s="6" t="s">
        <v>46</v>
      </c>
      <c r="J80" s="178">
        <v>0.48446</v>
      </c>
      <c r="N80" s="6" t="s">
        <v>65</v>
      </c>
      <c r="O80" s="6" t="s">
        <v>46</v>
      </c>
      <c r="P80" s="178">
        <v>0.489985</v>
      </c>
      <c r="T80" s="6" t="s">
        <v>65</v>
      </c>
      <c r="U80" s="6" t="s">
        <v>46</v>
      </c>
      <c r="V80" s="178">
        <v>0.44640600000000003</v>
      </c>
    </row>
    <row r="81" spans="2:22" x14ac:dyDescent="0.25">
      <c r="B81" s="6" t="s">
        <v>66</v>
      </c>
      <c r="C81" s="6" t="s">
        <v>46</v>
      </c>
      <c r="D81" s="178">
        <f t="shared" si="4"/>
        <v>0.85773600000000005</v>
      </c>
      <c r="H81" s="6" t="s">
        <v>66</v>
      </c>
      <c r="I81" s="6" t="s">
        <v>46</v>
      </c>
      <c r="J81" s="178">
        <v>0.90212000000000003</v>
      </c>
      <c r="N81" s="6" t="s">
        <v>66</v>
      </c>
      <c r="O81" s="6" t="s">
        <v>46</v>
      </c>
      <c r="P81" s="178">
        <v>0.89070000000000005</v>
      </c>
      <c r="T81" s="6" t="s">
        <v>66</v>
      </c>
      <c r="U81" s="6" t="s">
        <v>46</v>
      </c>
      <c r="V81" s="178">
        <v>0.81607499999999999</v>
      </c>
    </row>
    <row r="82" spans="2:22" x14ac:dyDescent="0.25">
      <c r="B82" s="6" t="s">
        <v>67</v>
      </c>
      <c r="C82" s="6" t="s">
        <v>46</v>
      </c>
      <c r="D82" s="178">
        <f t="shared" si="4"/>
        <v>0.61728700000000003</v>
      </c>
      <c r="H82" s="6" t="s">
        <v>67</v>
      </c>
      <c r="I82" s="6" t="s">
        <v>46</v>
      </c>
      <c r="J82" s="178">
        <v>0.58277500000000004</v>
      </c>
      <c r="N82" s="6" t="s">
        <v>67</v>
      </c>
      <c r="O82" s="6" t="s">
        <v>46</v>
      </c>
      <c r="P82" s="178">
        <v>0.58361300000000005</v>
      </c>
      <c r="T82" s="6" t="s">
        <v>67</v>
      </c>
      <c r="U82" s="6" t="s">
        <v>46</v>
      </c>
      <c r="V82" s="178">
        <v>0.515791</v>
      </c>
    </row>
    <row r="83" spans="2:22" x14ac:dyDescent="0.25">
      <c r="B83" s="6" t="s">
        <v>68</v>
      </c>
      <c r="C83" s="6" t="s">
        <v>46</v>
      </c>
      <c r="D83" s="178">
        <f t="shared" si="4"/>
        <v>1.475023</v>
      </c>
      <c r="H83" s="6" t="s">
        <v>68</v>
      </c>
      <c r="I83" s="6" t="s">
        <v>46</v>
      </c>
      <c r="J83" s="178">
        <v>1.4848950000000001</v>
      </c>
      <c r="N83" s="6" t="s">
        <v>68</v>
      </c>
      <c r="O83" s="6" t="s">
        <v>46</v>
      </c>
      <c r="P83" s="178">
        <v>1.474313</v>
      </c>
      <c r="T83" s="6" t="s">
        <v>68</v>
      </c>
      <c r="U83" s="6" t="s">
        <v>46</v>
      </c>
      <c r="V83" s="178">
        <v>1.331866</v>
      </c>
    </row>
    <row r="84" spans="2:22" x14ac:dyDescent="0.25">
      <c r="B84" s="6" t="s">
        <v>69</v>
      </c>
      <c r="C84" s="6" t="s">
        <v>70</v>
      </c>
      <c r="D84" s="178">
        <f t="shared" si="4"/>
        <v>6.9724139999999997</v>
      </c>
      <c r="H84" s="6" t="s">
        <v>69</v>
      </c>
      <c r="I84" s="6" t="s">
        <v>70</v>
      </c>
      <c r="J84" s="178">
        <v>6.6400110000000003</v>
      </c>
      <c r="N84" s="6" t="s">
        <v>69</v>
      </c>
      <c r="O84" s="6" t="s">
        <v>70</v>
      </c>
      <c r="P84" s="178">
        <v>6.6413830000000003</v>
      </c>
      <c r="T84" s="6" t="s">
        <v>69</v>
      </c>
      <c r="U84" s="6" t="s">
        <v>70</v>
      </c>
      <c r="V84" s="178">
        <v>6.6357629999999999</v>
      </c>
    </row>
    <row r="85" spans="2:22" x14ac:dyDescent="0.25">
      <c r="B85" s="15" t="s">
        <v>71</v>
      </c>
      <c r="C85" s="15" t="s">
        <v>72</v>
      </c>
      <c r="D85" s="179">
        <f t="shared" si="4"/>
        <v>2.951028</v>
      </c>
      <c r="H85" s="15" t="s">
        <v>71</v>
      </c>
      <c r="I85" s="15" t="s">
        <v>72</v>
      </c>
      <c r="J85" s="179">
        <v>2.9511129999999999</v>
      </c>
      <c r="N85" s="15" t="s">
        <v>71</v>
      </c>
      <c r="O85" s="15" t="s">
        <v>72</v>
      </c>
      <c r="P85" s="179">
        <v>2.953697</v>
      </c>
      <c r="T85" s="15" t="s">
        <v>71</v>
      </c>
      <c r="U85" s="15" t="s">
        <v>72</v>
      </c>
      <c r="V85" s="179">
        <v>2.9500380000000002</v>
      </c>
    </row>
    <row r="86" spans="2:22" x14ac:dyDescent="0.25">
      <c r="B86" s="18" t="s">
        <v>73</v>
      </c>
      <c r="C86" s="18" t="s">
        <v>72</v>
      </c>
      <c r="D86" s="180">
        <f t="shared" si="4"/>
        <v>2.8425829999999999</v>
      </c>
      <c r="H86" s="18" t="s">
        <v>73</v>
      </c>
      <c r="I86" s="18" t="s">
        <v>72</v>
      </c>
      <c r="J86" s="180">
        <v>2.886015</v>
      </c>
      <c r="N86" s="18" t="s">
        <v>73</v>
      </c>
      <c r="O86" s="18" t="s">
        <v>72</v>
      </c>
      <c r="P86" s="180">
        <v>2.8792019999999998</v>
      </c>
      <c r="T86" s="18" t="s">
        <v>73</v>
      </c>
      <c r="U86" s="18" t="s">
        <v>72</v>
      </c>
      <c r="V86" s="180">
        <v>2.8798309999999998</v>
      </c>
    </row>
    <row r="87" spans="2:22" x14ac:dyDescent="0.25">
      <c r="B87" s="6" t="s">
        <v>74</v>
      </c>
      <c r="C87" s="6" t="s">
        <v>19</v>
      </c>
      <c r="D87" s="178">
        <f t="shared" si="4"/>
        <v>0.269237</v>
      </c>
      <c r="H87" s="6" t="s">
        <v>74</v>
      </c>
      <c r="I87" s="6" t="s">
        <v>19</v>
      </c>
      <c r="J87" s="178">
        <v>0.23855699999999999</v>
      </c>
      <c r="N87" s="6" t="s">
        <v>74</v>
      </c>
      <c r="O87" s="6" t="s">
        <v>19</v>
      </c>
      <c r="P87" s="178">
        <v>0.22756699999999999</v>
      </c>
      <c r="T87" s="6" t="s">
        <v>74</v>
      </c>
      <c r="U87" s="6" t="s">
        <v>19</v>
      </c>
      <c r="V87" s="178">
        <v>0.191306</v>
      </c>
    </row>
    <row r="88" spans="2:22" x14ac:dyDescent="0.25">
      <c r="B88" s="6" t="s">
        <v>75</v>
      </c>
      <c r="C88" s="6" t="s">
        <v>19</v>
      </c>
      <c r="D88" s="178">
        <f t="shared" si="4"/>
        <v>0.26058500000000001</v>
      </c>
      <c r="H88" s="6" t="s">
        <v>75</v>
      </c>
      <c r="I88" s="6" t="s">
        <v>19</v>
      </c>
      <c r="J88" s="178">
        <v>0.28267100000000001</v>
      </c>
      <c r="N88" s="6" t="s">
        <v>75</v>
      </c>
      <c r="O88" s="6" t="s">
        <v>19</v>
      </c>
      <c r="P88" s="178">
        <v>0.27848699999999998</v>
      </c>
      <c r="T88" s="6" t="s">
        <v>75</v>
      </c>
      <c r="U88" s="6" t="s">
        <v>19</v>
      </c>
      <c r="V88" s="178">
        <v>0.23649600000000001</v>
      </c>
    </row>
    <row r="89" spans="2:22" x14ac:dyDescent="0.25">
      <c r="B89" s="6" t="s">
        <v>76</v>
      </c>
      <c r="C89" s="6" t="s">
        <v>19</v>
      </c>
      <c r="D89" s="178">
        <f t="shared" si="4"/>
        <v>0.52982200000000002</v>
      </c>
      <c r="H89" s="6" t="s">
        <v>76</v>
      </c>
      <c r="I89" s="6" t="s">
        <v>19</v>
      </c>
      <c r="J89" s="178">
        <v>0.52122800000000002</v>
      </c>
      <c r="N89" s="6" t="s">
        <v>76</v>
      </c>
      <c r="O89" s="6" t="s">
        <v>19</v>
      </c>
      <c r="P89" s="178">
        <v>0.50605500000000003</v>
      </c>
      <c r="T89" s="6" t="s">
        <v>76</v>
      </c>
      <c r="U89" s="6" t="s">
        <v>19</v>
      </c>
      <c r="V89" s="178">
        <v>0.42780200000000002</v>
      </c>
    </row>
    <row r="90" spans="2:22" x14ac:dyDescent="0.25">
      <c r="B90" s="6" t="s">
        <v>77</v>
      </c>
      <c r="C90" s="6" t="s">
        <v>19</v>
      </c>
      <c r="D90" s="178">
        <f t="shared" si="4"/>
        <v>0.459594</v>
      </c>
      <c r="H90" s="6" t="s">
        <v>77</v>
      </c>
      <c r="I90" s="6" t="s">
        <v>19</v>
      </c>
      <c r="J90" s="178">
        <v>0.431676</v>
      </c>
      <c r="N90" s="6" t="s">
        <v>77</v>
      </c>
      <c r="O90" s="6" t="s">
        <v>19</v>
      </c>
      <c r="P90" s="178">
        <v>0.43219000000000002</v>
      </c>
      <c r="T90" s="6" t="s">
        <v>77</v>
      </c>
      <c r="U90" s="6" t="s">
        <v>19</v>
      </c>
      <c r="V90" s="178">
        <v>0.43239699999999998</v>
      </c>
    </row>
    <row r="91" spans="2:22" x14ac:dyDescent="0.25">
      <c r="B91" s="6" t="s">
        <v>78</v>
      </c>
      <c r="C91" s="6" t="s">
        <v>19</v>
      </c>
      <c r="D91" s="178">
        <f t="shared" si="4"/>
        <v>0.13228100000000001</v>
      </c>
      <c r="H91" s="6" t="s">
        <v>78</v>
      </c>
      <c r="I91" s="6" t="s">
        <v>19</v>
      </c>
      <c r="J91" s="178">
        <v>0.15377399999999999</v>
      </c>
      <c r="N91" s="6" t="s">
        <v>78</v>
      </c>
      <c r="O91" s="6" t="s">
        <v>19</v>
      </c>
      <c r="P91" s="178">
        <v>0.1545</v>
      </c>
      <c r="T91" s="6" t="s">
        <v>78</v>
      </c>
      <c r="U91" s="6" t="s">
        <v>19</v>
      </c>
      <c r="V91" s="178">
        <v>0.138241</v>
      </c>
    </row>
    <row r="92" spans="2:22" x14ac:dyDescent="0.25">
      <c r="B92" s="6" t="s">
        <v>79</v>
      </c>
      <c r="C92" s="6" t="s">
        <v>19</v>
      </c>
      <c r="D92" s="178">
        <f t="shared" ref="D92:D123" si="5">IFERROR(VLOOKUP(B92,raw_2,8,FALSE),0)</f>
        <v>0.47487499999999999</v>
      </c>
      <c r="H92" s="6" t="s">
        <v>79</v>
      </c>
      <c r="I92" s="6" t="s">
        <v>19</v>
      </c>
      <c r="J92" s="178">
        <v>0.47051700000000002</v>
      </c>
      <c r="N92" s="6" t="s">
        <v>79</v>
      </c>
      <c r="O92" s="6" t="s">
        <v>19</v>
      </c>
      <c r="P92" s="178">
        <v>0.45585700000000001</v>
      </c>
      <c r="T92" s="6" t="s">
        <v>79</v>
      </c>
      <c r="U92" s="6" t="s">
        <v>19</v>
      </c>
      <c r="V92" s="178">
        <v>0.41693799999999998</v>
      </c>
    </row>
    <row r="93" spans="2:22" x14ac:dyDescent="0.25">
      <c r="B93" s="6" t="s">
        <v>80</v>
      </c>
      <c r="C93" s="6" t="s">
        <v>19</v>
      </c>
      <c r="D93" s="178">
        <f t="shared" si="5"/>
        <v>0.61874600000000002</v>
      </c>
      <c r="H93" s="6" t="s">
        <v>80</v>
      </c>
      <c r="I93" s="6" t="s">
        <v>19</v>
      </c>
      <c r="J93" s="178">
        <v>0.599217</v>
      </c>
      <c r="N93" s="6" t="s">
        <v>80</v>
      </c>
      <c r="O93" s="6" t="s">
        <v>19</v>
      </c>
      <c r="P93" s="178">
        <v>0.58638000000000001</v>
      </c>
      <c r="T93" s="6" t="s">
        <v>80</v>
      </c>
      <c r="U93" s="6" t="s">
        <v>19</v>
      </c>
      <c r="V93" s="178">
        <v>0.53151499999999996</v>
      </c>
    </row>
    <row r="94" spans="2:22" x14ac:dyDescent="0.25">
      <c r="B94" s="6" t="s">
        <v>81</v>
      </c>
      <c r="C94" s="6" t="s">
        <v>19</v>
      </c>
      <c r="D94" s="178">
        <f t="shared" si="5"/>
        <v>1.31978</v>
      </c>
      <c r="H94" s="6" t="s">
        <v>81</v>
      </c>
      <c r="I94" s="6" t="s">
        <v>19</v>
      </c>
      <c r="J94" s="178">
        <v>0.94645400000000002</v>
      </c>
      <c r="N94" s="6" t="s">
        <v>81</v>
      </c>
      <c r="O94" s="6" t="s">
        <v>19</v>
      </c>
      <c r="P94" s="178">
        <v>0.93411100000000002</v>
      </c>
      <c r="T94" s="6" t="s">
        <v>81</v>
      </c>
      <c r="U94" s="6" t="s">
        <v>19</v>
      </c>
      <c r="V94" s="178">
        <v>0.80182100000000001</v>
      </c>
    </row>
    <row r="95" spans="2:22" x14ac:dyDescent="0.25">
      <c r="B95" s="6" t="s">
        <v>185</v>
      </c>
      <c r="C95" s="6" t="s">
        <v>19</v>
      </c>
      <c r="D95" s="178">
        <f t="shared" si="5"/>
        <v>0.72359499999999999</v>
      </c>
      <c r="H95" s="6" t="s">
        <v>185</v>
      </c>
      <c r="I95" s="6" t="s">
        <v>19</v>
      </c>
      <c r="J95" s="178">
        <v>0.72290600000000005</v>
      </c>
      <c r="N95" s="6" t="s">
        <v>185</v>
      </c>
      <c r="O95" s="6" t="s">
        <v>19</v>
      </c>
      <c r="P95" s="178">
        <v>0.74832100000000001</v>
      </c>
      <c r="T95" s="6" t="s">
        <v>185</v>
      </c>
      <c r="U95" s="6" t="s">
        <v>19</v>
      </c>
      <c r="V95" s="178">
        <v>0.77245799999999998</v>
      </c>
    </row>
    <row r="96" spans="2:22" x14ac:dyDescent="0.25">
      <c r="B96" s="6" t="s">
        <v>186</v>
      </c>
      <c r="C96" s="6" t="s">
        <v>19</v>
      </c>
      <c r="D96" s="178">
        <f t="shared" si="5"/>
        <v>0.36661700000000003</v>
      </c>
      <c r="H96" s="6" t="s">
        <v>186</v>
      </c>
      <c r="I96" s="6" t="s">
        <v>19</v>
      </c>
      <c r="J96" s="178">
        <v>0.32168200000000002</v>
      </c>
      <c r="N96" s="6" t="s">
        <v>186</v>
      </c>
      <c r="O96" s="6" t="s">
        <v>19</v>
      </c>
      <c r="P96" s="178">
        <v>0.32541799999999999</v>
      </c>
      <c r="T96" s="6" t="s">
        <v>186</v>
      </c>
      <c r="U96" s="6" t="s">
        <v>19</v>
      </c>
      <c r="V96" s="178">
        <v>0.29622399999999999</v>
      </c>
    </row>
    <row r="97" spans="2:23" x14ac:dyDescent="0.25">
      <c r="B97" s="6" t="s">
        <v>187</v>
      </c>
      <c r="C97" s="6" t="s">
        <v>19</v>
      </c>
      <c r="D97" s="178">
        <f t="shared" si="5"/>
        <v>0.59804900000000005</v>
      </c>
      <c r="H97" s="6" t="s">
        <v>187</v>
      </c>
      <c r="I97" s="6" t="s">
        <v>19</v>
      </c>
      <c r="J97" s="178">
        <v>0.59900900000000001</v>
      </c>
      <c r="N97" s="6" t="s">
        <v>187</v>
      </c>
      <c r="O97" s="6" t="s">
        <v>19</v>
      </c>
      <c r="P97" s="178">
        <v>0.59154799999999996</v>
      </c>
      <c r="T97" s="6" t="s">
        <v>187</v>
      </c>
      <c r="U97" s="6" t="s">
        <v>19</v>
      </c>
      <c r="V97" s="178">
        <v>0.54152800000000001</v>
      </c>
    </row>
    <row r="98" spans="2:23" x14ac:dyDescent="0.25">
      <c r="B98" s="6" t="s">
        <v>188</v>
      </c>
      <c r="C98" s="6" t="s">
        <v>19</v>
      </c>
      <c r="D98" s="178">
        <f t="shared" si="5"/>
        <v>0.430398</v>
      </c>
      <c r="H98" s="6" t="s">
        <v>188</v>
      </c>
      <c r="I98" s="6" t="s">
        <v>19</v>
      </c>
      <c r="J98" s="178">
        <v>0.386963</v>
      </c>
      <c r="N98" s="6" t="s">
        <v>188</v>
      </c>
      <c r="O98" s="6" t="s">
        <v>19</v>
      </c>
      <c r="P98" s="178">
        <v>0.3876</v>
      </c>
      <c r="T98" s="6" t="s">
        <v>188</v>
      </c>
      <c r="U98" s="6" t="s">
        <v>19</v>
      </c>
      <c r="V98" s="178">
        <v>0.34226699999999999</v>
      </c>
    </row>
    <row r="99" spans="2:23" x14ac:dyDescent="0.25">
      <c r="B99" s="6" t="s">
        <v>189</v>
      </c>
      <c r="C99" s="6" t="s">
        <v>19</v>
      </c>
      <c r="D99" s="178">
        <f t="shared" si="5"/>
        <v>1.0284469999999999</v>
      </c>
      <c r="H99" s="6" t="s">
        <v>189</v>
      </c>
      <c r="I99" s="6" t="s">
        <v>19</v>
      </c>
      <c r="J99" s="178">
        <v>0.98597199999999996</v>
      </c>
      <c r="N99" s="6" t="s">
        <v>189</v>
      </c>
      <c r="O99" s="6" t="s">
        <v>19</v>
      </c>
      <c r="P99" s="178">
        <v>0.97914800000000002</v>
      </c>
      <c r="T99" s="6" t="s">
        <v>189</v>
      </c>
      <c r="U99" s="6" t="s">
        <v>19</v>
      </c>
      <c r="V99" s="178">
        <v>0.883795</v>
      </c>
    </row>
    <row r="100" spans="2:23" x14ac:dyDescent="0.25">
      <c r="B100" s="6" t="s">
        <v>82</v>
      </c>
      <c r="C100" s="6" t="s">
        <v>83</v>
      </c>
      <c r="D100" s="184">
        <f t="shared" si="5"/>
        <v>100</v>
      </c>
      <c r="E100" s="184"/>
      <c r="H100" s="6" t="s">
        <v>82</v>
      </c>
      <c r="I100" s="6" t="s">
        <v>83</v>
      </c>
      <c r="J100" s="184">
        <v>100</v>
      </c>
      <c r="K100" s="184"/>
      <c r="N100" s="6" t="s">
        <v>82</v>
      </c>
      <c r="O100" s="6" t="s">
        <v>83</v>
      </c>
      <c r="P100" s="184">
        <v>100</v>
      </c>
      <c r="Q100" s="184"/>
      <c r="T100" s="6" t="s">
        <v>82</v>
      </c>
      <c r="U100" s="6" t="s">
        <v>83</v>
      </c>
      <c r="V100" s="184">
        <v>100</v>
      </c>
      <c r="W100" s="184"/>
    </row>
    <row r="101" spans="2:23" x14ac:dyDescent="0.25">
      <c r="B101" s="6" t="s">
        <v>84</v>
      </c>
      <c r="C101" s="6" t="s">
        <v>83</v>
      </c>
      <c r="D101" s="184">
        <f t="shared" si="5"/>
        <v>15</v>
      </c>
      <c r="E101" s="184"/>
      <c r="H101" s="6" t="s">
        <v>84</v>
      </c>
      <c r="I101" s="6" t="s">
        <v>83</v>
      </c>
      <c r="J101" s="184">
        <v>15</v>
      </c>
      <c r="K101" s="184"/>
      <c r="N101" s="6" t="s">
        <v>84</v>
      </c>
      <c r="O101" s="6" t="s">
        <v>83</v>
      </c>
      <c r="P101" s="184">
        <v>15</v>
      </c>
      <c r="Q101" s="184"/>
      <c r="T101" s="6" t="s">
        <v>84</v>
      </c>
      <c r="U101" s="6" t="s">
        <v>83</v>
      </c>
      <c r="V101" s="184">
        <v>15</v>
      </c>
      <c r="W101" s="184"/>
    </row>
    <row r="102" spans="2:23" x14ac:dyDescent="0.25">
      <c r="B102" s="6" t="s">
        <v>85</v>
      </c>
      <c r="C102" s="6" t="s">
        <v>83</v>
      </c>
      <c r="D102" s="184">
        <f t="shared" si="5"/>
        <v>100</v>
      </c>
      <c r="E102" s="184"/>
      <c r="H102" s="6" t="s">
        <v>85</v>
      </c>
      <c r="I102" s="6" t="s">
        <v>83</v>
      </c>
      <c r="J102" s="184">
        <v>100</v>
      </c>
      <c r="K102" s="184"/>
      <c r="N102" s="6" t="s">
        <v>85</v>
      </c>
      <c r="O102" s="6" t="s">
        <v>83</v>
      </c>
      <c r="P102" s="184">
        <v>100</v>
      </c>
      <c r="Q102" s="184"/>
      <c r="T102" s="6" t="s">
        <v>85</v>
      </c>
      <c r="U102" s="6" t="s">
        <v>83</v>
      </c>
      <c r="V102" s="184">
        <v>100</v>
      </c>
      <c r="W102" s="184"/>
    </row>
    <row r="103" spans="2:23" x14ac:dyDescent="0.25">
      <c r="B103" s="6" t="s">
        <v>86</v>
      </c>
      <c r="C103" s="6" t="s">
        <v>83</v>
      </c>
      <c r="D103" s="184">
        <f t="shared" si="5"/>
        <v>40</v>
      </c>
      <c r="E103" s="184"/>
      <c r="H103" s="6" t="s">
        <v>86</v>
      </c>
      <c r="I103" s="6" t="s">
        <v>83</v>
      </c>
      <c r="J103" s="184">
        <v>40</v>
      </c>
      <c r="K103" s="184"/>
      <c r="N103" s="6" t="s">
        <v>86</v>
      </c>
      <c r="O103" s="6" t="s">
        <v>83</v>
      </c>
      <c r="P103" s="184">
        <v>40</v>
      </c>
      <c r="Q103" s="184"/>
      <c r="T103" s="6" t="s">
        <v>86</v>
      </c>
      <c r="U103" s="6" t="s">
        <v>83</v>
      </c>
      <c r="V103" s="184">
        <v>40</v>
      </c>
      <c r="W103" s="184"/>
    </row>
    <row r="104" spans="2:23" x14ac:dyDescent="0.25">
      <c r="B104" s="15" t="s">
        <v>87</v>
      </c>
      <c r="C104" s="15" t="s">
        <v>83</v>
      </c>
      <c r="D104" s="179">
        <f t="shared" si="5"/>
        <v>0.3</v>
      </c>
      <c r="H104" s="15" t="s">
        <v>87</v>
      </c>
      <c r="I104" s="15" t="s">
        <v>83</v>
      </c>
      <c r="J104" s="179">
        <v>0.3</v>
      </c>
      <c r="N104" s="15" t="s">
        <v>87</v>
      </c>
      <c r="O104" s="15" t="s">
        <v>83</v>
      </c>
      <c r="P104" s="179">
        <v>0.3</v>
      </c>
      <c r="T104" s="15" t="s">
        <v>87</v>
      </c>
      <c r="U104" s="15" t="s">
        <v>83</v>
      </c>
      <c r="V104" s="179">
        <v>0.3</v>
      </c>
    </row>
    <row r="105" spans="2:23" x14ac:dyDescent="0.25">
      <c r="B105" s="6" t="s">
        <v>88</v>
      </c>
      <c r="C105" s="6" t="s">
        <v>83</v>
      </c>
      <c r="D105" s="184">
        <f t="shared" si="5"/>
        <v>1</v>
      </c>
      <c r="E105" s="184"/>
      <c r="H105" s="6" t="s">
        <v>88</v>
      </c>
      <c r="I105" s="6" t="s">
        <v>83</v>
      </c>
      <c r="J105" s="184">
        <v>1</v>
      </c>
      <c r="K105" s="184"/>
      <c r="N105" s="6" t="s">
        <v>88</v>
      </c>
      <c r="O105" s="6" t="s">
        <v>83</v>
      </c>
      <c r="P105" s="184">
        <v>1</v>
      </c>
      <c r="Q105" s="184"/>
      <c r="T105" s="6" t="s">
        <v>88</v>
      </c>
      <c r="U105" s="6" t="s">
        <v>83</v>
      </c>
      <c r="V105" s="184">
        <v>1</v>
      </c>
      <c r="W105" s="184"/>
    </row>
    <row r="106" spans="2:23" hidden="1" x14ac:dyDescent="0.25">
      <c r="B106" s="6" t="s">
        <v>89</v>
      </c>
      <c r="C106" s="6" t="s">
        <v>90</v>
      </c>
      <c r="D106" s="185">
        <f t="shared" si="5"/>
        <v>8000</v>
      </c>
      <c r="E106" s="185"/>
      <c r="H106" s="6" t="s">
        <v>89</v>
      </c>
      <c r="I106" s="6" t="s">
        <v>90</v>
      </c>
      <c r="J106" s="185">
        <v>8000</v>
      </c>
      <c r="K106" s="185"/>
      <c r="N106" s="6" t="s">
        <v>89</v>
      </c>
      <c r="O106" s="6" t="s">
        <v>90</v>
      </c>
      <c r="P106" s="185">
        <v>8000</v>
      </c>
      <c r="Q106" s="185"/>
      <c r="T106" s="6" t="s">
        <v>89</v>
      </c>
      <c r="U106" s="6" t="s">
        <v>90</v>
      </c>
      <c r="V106" s="185">
        <v>8000</v>
      </c>
      <c r="W106" s="185"/>
    </row>
    <row r="107" spans="2:23" hidden="1" x14ac:dyDescent="0.25">
      <c r="B107" s="6" t="s">
        <v>91</v>
      </c>
      <c r="C107" s="6" t="s">
        <v>90</v>
      </c>
      <c r="D107" s="185">
        <f t="shared" si="5"/>
        <v>1500</v>
      </c>
      <c r="E107" s="185"/>
      <c r="H107" s="6" t="s">
        <v>91</v>
      </c>
      <c r="I107" s="6" t="s">
        <v>90</v>
      </c>
      <c r="J107" s="185">
        <v>1500</v>
      </c>
      <c r="K107" s="185"/>
      <c r="N107" s="6" t="s">
        <v>91</v>
      </c>
      <c r="O107" s="6" t="s">
        <v>90</v>
      </c>
      <c r="P107" s="185">
        <v>1500</v>
      </c>
      <c r="Q107" s="185"/>
      <c r="T107" s="6" t="s">
        <v>91</v>
      </c>
      <c r="U107" s="6" t="s">
        <v>90</v>
      </c>
      <c r="V107" s="185">
        <v>1500</v>
      </c>
      <c r="W107" s="185"/>
    </row>
    <row r="108" spans="2:23" hidden="1" x14ac:dyDescent="0.25">
      <c r="B108" s="6" t="s">
        <v>92</v>
      </c>
      <c r="C108" s="6" t="s">
        <v>90</v>
      </c>
      <c r="D108" s="185">
        <f t="shared" si="5"/>
        <v>30</v>
      </c>
      <c r="E108" s="185"/>
      <c r="H108" s="6" t="s">
        <v>92</v>
      </c>
      <c r="I108" s="6" t="s">
        <v>90</v>
      </c>
      <c r="J108" s="185">
        <v>30</v>
      </c>
      <c r="K108" s="185"/>
      <c r="N108" s="6" t="s">
        <v>92</v>
      </c>
      <c r="O108" s="6" t="s">
        <v>90</v>
      </c>
      <c r="P108" s="185">
        <v>30</v>
      </c>
      <c r="Q108" s="185"/>
      <c r="T108" s="6" t="s">
        <v>92</v>
      </c>
      <c r="U108" s="6" t="s">
        <v>90</v>
      </c>
      <c r="V108" s="185">
        <v>30</v>
      </c>
      <c r="W108" s="185"/>
    </row>
    <row r="109" spans="2:23" hidden="1" x14ac:dyDescent="0.25">
      <c r="B109" s="6" t="s">
        <v>93</v>
      </c>
      <c r="C109" s="6" t="s">
        <v>83</v>
      </c>
      <c r="D109" s="184">
        <f t="shared" si="5"/>
        <v>2</v>
      </c>
      <c r="E109" s="184"/>
      <c r="H109" s="6" t="s">
        <v>93</v>
      </c>
      <c r="I109" s="6" t="s">
        <v>83</v>
      </c>
      <c r="J109" s="184">
        <v>2</v>
      </c>
      <c r="K109" s="184"/>
      <c r="N109" s="6" t="s">
        <v>93</v>
      </c>
      <c r="O109" s="6" t="s">
        <v>83</v>
      </c>
      <c r="P109" s="184">
        <v>2</v>
      </c>
      <c r="Q109" s="184"/>
      <c r="T109" s="6" t="s">
        <v>93</v>
      </c>
      <c r="U109" s="6" t="s">
        <v>83</v>
      </c>
      <c r="V109" s="184">
        <v>2</v>
      </c>
      <c r="W109" s="184"/>
    </row>
    <row r="110" spans="2:23" hidden="1" x14ac:dyDescent="0.25">
      <c r="B110" s="6" t="s">
        <v>94</v>
      </c>
      <c r="C110" s="6" t="s">
        <v>83</v>
      </c>
      <c r="D110" s="178">
        <f t="shared" si="5"/>
        <v>1</v>
      </c>
      <c r="H110" s="6" t="s">
        <v>94</v>
      </c>
      <c r="I110" s="6" t="s">
        <v>83</v>
      </c>
      <c r="J110" s="178">
        <v>1</v>
      </c>
      <c r="N110" s="6" t="s">
        <v>94</v>
      </c>
      <c r="O110" s="6" t="s">
        <v>83</v>
      </c>
      <c r="P110" s="178">
        <v>1</v>
      </c>
      <c r="T110" s="6" t="s">
        <v>94</v>
      </c>
      <c r="U110" s="6" t="s">
        <v>83</v>
      </c>
      <c r="V110" s="178">
        <v>1</v>
      </c>
    </row>
    <row r="111" spans="2:23" hidden="1" x14ac:dyDescent="0.25">
      <c r="B111" s="6" t="s">
        <v>95</v>
      </c>
      <c r="C111" s="6" t="s">
        <v>83</v>
      </c>
      <c r="D111" s="178">
        <f t="shared" si="5"/>
        <v>4</v>
      </c>
      <c r="H111" s="6" t="s">
        <v>95</v>
      </c>
      <c r="I111" s="6" t="s">
        <v>83</v>
      </c>
      <c r="J111" s="178">
        <v>4</v>
      </c>
      <c r="N111" s="6" t="s">
        <v>95</v>
      </c>
      <c r="O111" s="6" t="s">
        <v>83</v>
      </c>
      <c r="P111" s="178">
        <v>4</v>
      </c>
      <c r="T111" s="6" t="s">
        <v>95</v>
      </c>
      <c r="U111" s="6" t="s">
        <v>83</v>
      </c>
      <c r="V111" s="178">
        <v>4</v>
      </c>
    </row>
    <row r="112" spans="2:23" hidden="1" x14ac:dyDescent="0.25">
      <c r="B112" s="6" t="s">
        <v>96</v>
      </c>
      <c r="C112" s="6" t="s">
        <v>83</v>
      </c>
      <c r="D112" s="178">
        <f t="shared" si="5"/>
        <v>20</v>
      </c>
      <c r="H112" s="6" t="s">
        <v>96</v>
      </c>
      <c r="I112" s="6" t="s">
        <v>83</v>
      </c>
      <c r="J112" s="178">
        <v>20</v>
      </c>
      <c r="N112" s="6" t="s">
        <v>96</v>
      </c>
      <c r="O112" s="6" t="s">
        <v>83</v>
      </c>
      <c r="P112" s="178">
        <v>20</v>
      </c>
      <c r="T112" s="6" t="s">
        <v>96</v>
      </c>
      <c r="U112" s="6" t="s">
        <v>83</v>
      </c>
      <c r="V112" s="178">
        <v>20</v>
      </c>
    </row>
    <row r="113" spans="1:23" hidden="1" x14ac:dyDescent="0.25">
      <c r="B113" s="6" t="s">
        <v>97</v>
      </c>
      <c r="C113" s="6" t="s">
        <v>83</v>
      </c>
      <c r="D113" s="178">
        <f t="shared" si="5"/>
        <v>0</v>
      </c>
      <c r="H113" s="6" t="s">
        <v>97</v>
      </c>
      <c r="I113" s="6" t="s">
        <v>83</v>
      </c>
      <c r="J113" s="178">
        <v>0</v>
      </c>
      <c r="N113" s="6" t="s">
        <v>97</v>
      </c>
      <c r="O113" s="6" t="s">
        <v>83</v>
      </c>
      <c r="P113" s="178">
        <v>0</v>
      </c>
      <c r="T113" s="6" t="s">
        <v>97</v>
      </c>
      <c r="U113" s="6" t="s">
        <v>83</v>
      </c>
      <c r="V113" s="178">
        <v>0</v>
      </c>
    </row>
    <row r="114" spans="1:23" hidden="1" x14ac:dyDescent="0.25">
      <c r="B114" s="6" t="s">
        <v>98</v>
      </c>
      <c r="C114" s="6" t="s">
        <v>83</v>
      </c>
      <c r="D114" s="178">
        <f t="shared" si="5"/>
        <v>12</v>
      </c>
      <c r="H114" s="6" t="s">
        <v>98</v>
      </c>
      <c r="I114" s="6" t="s">
        <v>83</v>
      </c>
      <c r="J114" s="178">
        <v>12</v>
      </c>
      <c r="N114" s="6" t="s">
        <v>98</v>
      </c>
      <c r="O114" s="6" t="s">
        <v>83</v>
      </c>
      <c r="P114" s="178">
        <v>12</v>
      </c>
      <c r="T114" s="6" t="s">
        <v>98</v>
      </c>
      <c r="U114" s="6" t="s">
        <v>83</v>
      </c>
      <c r="V114" s="178">
        <v>12</v>
      </c>
    </row>
    <row r="115" spans="1:23" hidden="1" x14ac:dyDescent="0.25">
      <c r="B115" s="6" t="s">
        <v>99</v>
      </c>
      <c r="C115" s="6" t="s">
        <v>83</v>
      </c>
      <c r="D115" s="178">
        <f t="shared" si="5"/>
        <v>2</v>
      </c>
      <c r="H115" s="6" t="s">
        <v>99</v>
      </c>
      <c r="I115" s="6" t="s">
        <v>83</v>
      </c>
      <c r="J115" s="178">
        <v>2</v>
      </c>
      <c r="N115" s="6" t="s">
        <v>99</v>
      </c>
      <c r="O115" s="6" t="s">
        <v>83</v>
      </c>
      <c r="P115" s="178">
        <v>2</v>
      </c>
      <c r="T115" s="6" t="s">
        <v>99</v>
      </c>
      <c r="U115" s="6" t="s">
        <v>83</v>
      </c>
      <c r="V115" s="178">
        <v>2</v>
      </c>
    </row>
    <row r="116" spans="1:23" s="30" customFormat="1" hidden="1" x14ac:dyDescent="0.25">
      <c r="A116" s="5"/>
      <c r="B116" s="6" t="s">
        <v>100</v>
      </c>
      <c r="C116" s="6" t="s">
        <v>83</v>
      </c>
      <c r="D116" s="178">
        <f t="shared" si="5"/>
        <v>0.1</v>
      </c>
      <c r="E116" s="178"/>
      <c r="G116" s="5"/>
      <c r="H116" s="6" t="s">
        <v>100</v>
      </c>
      <c r="I116" s="6" t="s">
        <v>83</v>
      </c>
      <c r="J116" s="178">
        <v>0.1</v>
      </c>
      <c r="K116" s="178"/>
      <c r="M116" s="5"/>
      <c r="N116" s="6" t="s">
        <v>100</v>
      </c>
      <c r="O116" s="6" t="s">
        <v>83</v>
      </c>
      <c r="P116" s="178">
        <v>0.1</v>
      </c>
      <c r="Q116" s="178"/>
      <c r="S116" s="5"/>
      <c r="T116" s="6" t="s">
        <v>100</v>
      </c>
      <c r="U116" s="6" t="s">
        <v>83</v>
      </c>
      <c r="V116" s="178">
        <v>0.1</v>
      </c>
      <c r="W116" s="178"/>
    </row>
    <row r="117" spans="1:23" s="30" customFormat="1" hidden="1" x14ac:dyDescent="0.25">
      <c r="A117" s="5"/>
      <c r="B117" s="6" t="s">
        <v>101</v>
      </c>
      <c r="C117" s="6" t="s">
        <v>83</v>
      </c>
      <c r="D117" s="178">
        <f t="shared" si="5"/>
        <v>0.5</v>
      </c>
      <c r="E117" s="178"/>
      <c r="G117" s="5"/>
      <c r="H117" s="6" t="s">
        <v>101</v>
      </c>
      <c r="I117" s="6" t="s">
        <v>83</v>
      </c>
      <c r="J117" s="178">
        <v>0.5</v>
      </c>
      <c r="K117" s="178"/>
      <c r="M117" s="5"/>
      <c r="N117" s="6" t="s">
        <v>101</v>
      </c>
      <c r="O117" s="6" t="s">
        <v>83</v>
      </c>
      <c r="P117" s="178">
        <v>0.5</v>
      </c>
      <c r="Q117" s="178"/>
      <c r="S117" s="5"/>
      <c r="T117" s="6" t="s">
        <v>101</v>
      </c>
      <c r="U117" s="6" t="s">
        <v>83</v>
      </c>
      <c r="V117" s="178">
        <v>0.5</v>
      </c>
      <c r="W117" s="178"/>
    </row>
    <row r="118" spans="1:23" s="30" customFormat="1" hidden="1" x14ac:dyDescent="0.25">
      <c r="A118" s="5"/>
      <c r="B118" s="6" t="s">
        <v>102</v>
      </c>
      <c r="C118" s="6" t="s">
        <v>83</v>
      </c>
      <c r="D118" s="178">
        <f t="shared" si="5"/>
        <v>0.02</v>
      </c>
      <c r="E118" s="178"/>
      <c r="G118" s="5"/>
      <c r="H118" s="6" t="s">
        <v>102</v>
      </c>
      <c r="I118" s="6" t="s">
        <v>83</v>
      </c>
      <c r="J118" s="178">
        <v>0.02</v>
      </c>
      <c r="K118" s="178"/>
      <c r="M118" s="5"/>
      <c r="N118" s="6" t="s">
        <v>102</v>
      </c>
      <c r="O118" s="6" t="s">
        <v>83</v>
      </c>
      <c r="P118" s="178">
        <v>0.02</v>
      </c>
      <c r="Q118" s="178"/>
      <c r="S118" s="5"/>
      <c r="T118" s="6" t="s">
        <v>102</v>
      </c>
      <c r="U118" s="6" t="s">
        <v>83</v>
      </c>
      <c r="V118" s="178">
        <v>0.02</v>
      </c>
      <c r="W118" s="178"/>
    </row>
    <row r="119" spans="1:23" s="30" customFormat="1" hidden="1" x14ac:dyDescent="0.25">
      <c r="A119" s="5"/>
      <c r="B119" s="6" t="s">
        <v>103</v>
      </c>
      <c r="C119" s="6" t="s">
        <v>104</v>
      </c>
      <c r="D119" s="178">
        <f t="shared" si="5"/>
        <v>51.406109999999998</v>
      </c>
      <c r="E119" s="178"/>
      <c r="G119" s="5"/>
      <c r="H119" s="6" t="s">
        <v>103</v>
      </c>
      <c r="I119" s="6" t="s">
        <v>104</v>
      </c>
      <c r="J119" s="178">
        <v>27.925588000000001</v>
      </c>
      <c r="K119" s="178"/>
      <c r="M119" s="5"/>
      <c r="N119" s="6" t="s">
        <v>103</v>
      </c>
      <c r="O119" s="6" t="s">
        <v>104</v>
      </c>
      <c r="P119" s="178">
        <v>32.741548999999999</v>
      </c>
      <c r="Q119" s="178"/>
      <c r="S119" s="5"/>
      <c r="T119" s="6" t="s">
        <v>103</v>
      </c>
      <c r="U119" s="6" t="s">
        <v>104</v>
      </c>
      <c r="V119" s="178">
        <v>29.932317000000001</v>
      </c>
      <c r="W119" s="178"/>
    </row>
    <row r="120" spans="1:23" s="30" customFormat="1" hidden="1" x14ac:dyDescent="0.25">
      <c r="A120" s="5"/>
      <c r="B120" s="6" t="s">
        <v>105</v>
      </c>
      <c r="C120" s="6" t="s">
        <v>106</v>
      </c>
      <c r="D120" s="178">
        <f t="shared" si="5"/>
        <v>571.03155300000003</v>
      </c>
      <c r="E120" s="178"/>
      <c r="G120" s="5"/>
      <c r="H120" s="6" t="s">
        <v>105</v>
      </c>
      <c r="I120" s="6" t="s">
        <v>106</v>
      </c>
      <c r="J120" s="178">
        <v>517.73562600000002</v>
      </c>
      <c r="K120" s="178"/>
      <c r="M120" s="5"/>
      <c r="N120" s="6" t="s">
        <v>105</v>
      </c>
      <c r="O120" s="6" t="s">
        <v>106</v>
      </c>
      <c r="P120" s="178">
        <v>501.43</v>
      </c>
      <c r="Q120" s="178"/>
      <c r="S120" s="5"/>
      <c r="T120" s="6" t="s">
        <v>105</v>
      </c>
      <c r="U120" s="6" t="s">
        <v>106</v>
      </c>
      <c r="V120" s="178">
        <v>506.47660300000001</v>
      </c>
      <c r="W120" s="178"/>
    </row>
    <row r="121" spans="1:23" s="30" customFormat="1" hidden="1" x14ac:dyDescent="0.25">
      <c r="A121" s="5"/>
      <c r="B121" s="6" t="s">
        <v>107</v>
      </c>
      <c r="C121" s="6"/>
      <c r="D121" s="178">
        <f t="shared" si="5"/>
        <v>4.7131720000000001</v>
      </c>
      <c r="E121" s="178"/>
      <c r="G121" s="5"/>
      <c r="H121" s="6" t="s">
        <v>107</v>
      </c>
      <c r="I121" s="6"/>
      <c r="J121" s="178">
        <v>6.0898349999999999</v>
      </c>
      <c r="K121" s="178"/>
      <c r="M121" s="5"/>
      <c r="N121" s="6" t="s">
        <v>107</v>
      </c>
      <c r="O121" s="6"/>
      <c r="P121" s="178">
        <v>6.7502500000000003</v>
      </c>
      <c r="Q121" s="178"/>
      <c r="S121" s="5"/>
      <c r="T121" s="6" t="s">
        <v>107</v>
      </c>
      <c r="U121" s="6"/>
      <c r="V121" s="178">
        <v>6.8359160000000001</v>
      </c>
      <c r="W121" s="178"/>
    </row>
    <row r="122" spans="1:23" s="30" customFormat="1" hidden="1" x14ac:dyDescent="0.25">
      <c r="A122" s="5"/>
      <c r="B122" s="6" t="s">
        <v>203</v>
      </c>
      <c r="C122" s="6" t="s">
        <v>83</v>
      </c>
      <c r="D122" s="178">
        <f t="shared" si="5"/>
        <v>0</v>
      </c>
      <c r="E122" s="178"/>
      <c r="G122" s="5"/>
      <c r="H122" s="6" t="s">
        <v>203</v>
      </c>
      <c r="I122" s="6" t="s">
        <v>83</v>
      </c>
      <c r="J122" s="178">
        <v>0</v>
      </c>
      <c r="K122" s="178"/>
      <c r="M122" s="5"/>
      <c r="N122" s="6" t="s">
        <v>203</v>
      </c>
      <c r="O122" s="6" t="s">
        <v>83</v>
      </c>
      <c r="P122" s="178">
        <v>0</v>
      </c>
      <c r="Q122" s="178"/>
      <c r="S122" s="5"/>
      <c r="T122" s="6" t="s">
        <v>203</v>
      </c>
      <c r="U122" s="6" t="s">
        <v>83</v>
      </c>
      <c r="V122" s="178">
        <v>0</v>
      </c>
      <c r="W122" s="178"/>
    </row>
    <row r="123" spans="1:23" hidden="1" x14ac:dyDescent="0.25">
      <c r="B123" s="6" t="s">
        <v>204</v>
      </c>
      <c r="C123" s="6" t="s">
        <v>83</v>
      </c>
      <c r="D123" s="178">
        <f t="shared" si="5"/>
        <v>0</v>
      </c>
      <c r="H123" s="6" t="s">
        <v>204</v>
      </c>
      <c r="I123" s="6" t="s">
        <v>83</v>
      </c>
      <c r="J123" s="178">
        <v>0</v>
      </c>
      <c r="N123" s="6" t="s">
        <v>204</v>
      </c>
      <c r="O123" s="6" t="s">
        <v>83</v>
      </c>
      <c r="P123" s="178">
        <v>0</v>
      </c>
      <c r="T123" s="6" t="s">
        <v>204</v>
      </c>
      <c r="U123" s="6" t="s">
        <v>83</v>
      </c>
      <c r="V123" s="178">
        <v>0</v>
      </c>
    </row>
    <row r="124" spans="1:23" hidden="1" x14ac:dyDescent="0.25">
      <c r="B124" s="6" t="s">
        <v>205</v>
      </c>
      <c r="C124" s="6" t="s">
        <v>83</v>
      </c>
      <c r="D124" s="178">
        <f t="shared" ref="D124:D148" si="6">IFERROR(VLOOKUP(B124,raw_2,8,FALSE),0)</f>
        <v>0</v>
      </c>
      <c r="H124" s="6" t="s">
        <v>205</v>
      </c>
      <c r="I124" s="6" t="s">
        <v>83</v>
      </c>
      <c r="J124" s="178">
        <v>0</v>
      </c>
      <c r="N124" s="6" t="s">
        <v>205</v>
      </c>
      <c r="O124" s="6" t="s">
        <v>83</v>
      </c>
      <c r="P124" s="178">
        <v>0</v>
      </c>
      <c r="T124" s="6" t="s">
        <v>205</v>
      </c>
      <c r="U124" s="6" t="s">
        <v>83</v>
      </c>
      <c r="V124" s="178">
        <v>0</v>
      </c>
    </row>
    <row r="125" spans="1:23" hidden="1" x14ac:dyDescent="0.25">
      <c r="B125" s="6" t="s">
        <v>191</v>
      </c>
      <c r="C125" s="6" t="s">
        <v>83</v>
      </c>
      <c r="D125" s="178">
        <f t="shared" si="6"/>
        <v>0</v>
      </c>
      <c r="H125" s="6" t="s">
        <v>191</v>
      </c>
      <c r="I125" s="6" t="s">
        <v>83</v>
      </c>
      <c r="J125" s="178">
        <v>0</v>
      </c>
      <c r="N125" s="6" t="s">
        <v>191</v>
      </c>
      <c r="O125" s="6" t="s">
        <v>83</v>
      </c>
      <c r="P125" s="178">
        <v>0</v>
      </c>
      <c r="T125" s="6" t="s">
        <v>191</v>
      </c>
      <c r="U125" s="6" t="s">
        <v>83</v>
      </c>
      <c r="V125" s="178">
        <v>0</v>
      </c>
    </row>
    <row r="126" spans="1:23" hidden="1" x14ac:dyDescent="0.25">
      <c r="B126" s="6" t="s">
        <v>192</v>
      </c>
      <c r="C126" s="6" t="s">
        <v>83</v>
      </c>
      <c r="D126" s="178">
        <f t="shared" si="6"/>
        <v>0</v>
      </c>
      <c r="H126" s="6" t="s">
        <v>192</v>
      </c>
      <c r="I126" s="6" t="s">
        <v>83</v>
      </c>
      <c r="J126" s="178">
        <v>0</v>
      </c>
      <c r="N126" s="6" t="s">
        <v>192</v>
      </c>
      <c r="O126" s="6" t="s">
        <v>83</v>
      </c>
      <c r="P126" s="178">
        <v>0</v>
      </c>
      <c r="T126" s="6" t="s">
        <v>192</v>
      </c>
      <c r="U126" s="6" t="s">
        <v>83</v>
      </c>
      <c r="V126" s="178">
        <v>0</v>
      </c>
    </row>
    <row r="127" spans="1:23" hidden="1" x14ac:dyDescent="0.25">
      <c r="B127" s="6" t="s">
        <v>193</v>
      </c>
      <c r="C127" s="6" t="s">
        <v>83</v>
      </c>
      <c r="D127" s="178">
        <f t="shared" si="6"/>
        <v>0</v>
      </c>
      <c r="H127" s="6" t="s">
        <v>193</v>
      </c>
      <c r="I127" s="6" t="s">
        <v>83</v>
      </c>
      <c r="J127" s="178">
        <v>0</v>
      </c>
      <c r="N127" s="6" t="s">
        <v>193</v>
      </c>
      <c r="O127" s="6" t="s">
        <v>83</v>
      </c>
      <c r="P127" s="178">
        <v>0</v>
      </c>
      <c r="T127" s="6" t="s">
        <v>193</v>
      </c>
      <c r="U127" s="6" t="s">
        <v>83</v>
      </c>
      <c r="V127" s="178">
        <v>0</v>
      </c>
    </row>
    <row r="128" spans="1:23" hidden="1" x14ac:dyDescent="0.25">
      <c r="B128" s="6" t="s">
        <v>194</v>
      </c>
      <c r="C128" s="6" t="s">
        <v>83</v>
      </c>
      <c r="D128" s="178">
        <f t="shared" si="6"/>
        <v>0</v>
      </c>
      <c r="H128" s="6" t="s">
        <v>194</v>
      </c>
      <c r="I128" s="6" t="s">
        <v>83</v>
      </c>
      <c r="J128" s="178">
        <v>0</v>
      </c>
      <c r="N128" s="6" t="s">
        <v>194</v>
      </c>
      <c r="O128" s="6" t="s">
        <v>83</v>
      </c>
      <c r="P128" s="178">
        <v>0</v>
      </c>
      <c r="T128" s="6" t="s">
        <v>194</v>
      </c>
      <c r="U128" s="6" t="s">
        <v>83</v>
      </c>
      <c r="V128" s="178">
        <v>0</v>
      </c>
    </row>
    <row r="129" spans="2:22" hidden="1" x14ac:dyDescent="0.25">
      <c r="B129" s="6" t="s">
        <v>195</v>
      </c>
      <c r="C129" s="6" t="s">
        <v>83</v>
      </c>
      <c r="D129" s="178">
        <f t="shared" si="6"/>
        <v>0</v>
      </c>
      <c r="H129" s="6" t="s">
        <v>195</v>
      </c>
      <c r="I129" s="6" t="s">
        <v>83</v>
      </c>
      <c r="J129" s="178">
        <v>0</v>
      </c>
      <c r="N129" s="6" t="s">
        <v>195</v>
      </c>
      <c r="O129" s="6" t="s">
        <v>83</v>
      </c>
      <c r="P129" s="178">
        <v>0</v>
      </c>
      <c r="T129" s="6" t="s">
        <v>195</v>
      </c>
      <c r="U129" s="6" t="s">
        <v>83</v>
      </c>
      <c r="V129" s="178">
        <v>0</v>
      </c>
    </row>
    <row r="130" spans="2:22" hidden="1" x14ac:dyDescent="0.25">
      <c r="B130" s="6" t="s">
        <v>196</v>
      </c>
      <c r="C130" s="6" t="s">
        <v>83</v>
      </c>
      <c r="D130" s="178">
        <f t="shared" si="6"/>
        <v>0</v>
      </c>
      <c r="H130" s="6" t="s">
        <v>196</v>
      </c>
      <c r="I130" s="6" t="s">
        <v>83</v>
      </c>
      <c r="J130" s="178">
        <v>0</v>
      </c>
      <c r="N130" s="6" t="s">
        <v>196</v>
      </c>
      <c r="O130" s="6" t="s">
        <v>83</v>
      </c>
      <c r="P130" s="178">
        <v>0</v>
      </c>
      <c r="T130" s="6" t="s">
        <v>196</v>
      </c>
      <c r="U130" s="6" t="s">
        <v>83</v>
      </c>
      <c r="V130" s="178">
        <v>0</v>
      </c>
    </row>
    <row r="131" spans="2:22" hidden="1" x14ac:dyDescent="0.25">
      <c r="B131" s="6" t="s">
        <v>197</v>
      </c>
      <c r="C131" s="6" t="s">
        <v>83</v>
      </c>
      <c r="D131" s="178">
        <f t="shared" si="6"/>
        <v>0</v>
      </c>
      <c r="H131" s="6" t="s">
        <v>197</v>
      </c>
      <c r="I131" s="6" t="s">
        <v>83</v>
      </c>
      <c r="J131" s="178">
        <v>0</v>
      </c>
      <c r="N131" s="6" t="s">
        <v>197</v>
      </c>
      <c r="O131" s="6" t="s">
        <v>83</v>
      </c>
      <c r="P131" s="178">
        <v>0</v>
      </c>
      <c r="T131" s="6" t="s">
        <v>197</v>
      </c>
      <c r="U131" s="6" t="s">
        <v>83</v>
      </c>
      <c r="V131" s="178">
        <v>0</v>
      </c>
    </row>
    <row r="132" spans="2:22" hidden="1" x14ac:dyDescent="0.25">
      <c r="B132" s="6" t="s">
        <v>198</v>
      </c>
      <c r="C132" s="6" t="s">
        <v>83</v>
      </c>
      <c r="D132" s="178">
        <f t="shared" si="6"/>
        <v>0</v>
      </c>
      <c r="H132" s="6" t="s">
        <v>198</v>
      </c>
      <c r="I132" s="6" t="s">
        <v>83</v>
      </c>
      <c r="J132" s="178">
        <v>0</v>
      </c>
      <c r="N132" s="6" t="s">
        <v>198</v>
      </c>
      <c r="O132" s="6" t="s">
        <v>83</v>
      </c>
      <c r="P132" s="178">
        <v>0</v>
      </c>
      <c r="T132" s="6" t="s">
        <v>198</v>
      </c>
      <c r="U132" s="6" t="s">
        <v>83</v>
      </c>
      <c r="V132" s="178">
        <v>0</v>
      </c>
    </row>
    <row r="133" spans="2:22" hidden="1" x14ac:dyDescent="0.25">
      <c r="B133" s="6" t="s">
        <v>199</v>
      </c>
      <c r="C133" s="6" t="s">
        <v>83</v>
      </c>
      <c r="D133" s="178">
        <f t="shared" si="6"/>
        <v>0</v>
      </c>
      <c r="H133" s="6" t="s">
        <v>199</v>
      </c>
      <c r="I133" s="6" t="s">
        <v>83</v>
      </c>
      <c r="J133" s="178">
        <v>0</v>
      </c>
      <c r="N133" s="6" t="s">
        <v>199</v>
      </c>
      <c r="O133" s="6" t="s">
        <v>83</v>
      </c>
      <c r="P133" s="178">
        <v>0</v>
      </c>
      <c r="T133" s="6" t="s">
        <v>199</v>
      </c>
      <c r="U133" s="6" t="s">
        <v>83</v>
      </c>
      <c r="V133" s="178">
        <v>0</v>
      </c>
    </row>
    <row r="134" spans="2:22" hidden="1" x14ac:dyDescent="0.25">
      <c r="B134" s="6" t="s">
        <v>190</v>
      </c>
      <c r="C134" s="6" t="s">
        <v>206</v>
      </c>
      <c r="D134" s="178">
        <f t="shared" si="6"/>
        <v>0</v>
      </c>
      <c r="H134" s="6" t="s">
        <v>190</v>
      </c>
      <c r="I134" s="6" t="s">
        <v>206</v>
      </c>
      <c r="J134" s="178">
        <v>0</v>
      </c>
      <c r="N134" s="6" t="s">
        <v>190</v>
      </c>
      <c r="O134" s="6" t="s">
        <v>206</v>
      </c>
      <c r="P134" s="178">
        <v>0</v>
      </c>
      <c r="T134" s="6" t="s">
        <v>190</v>
      </c>
      <c r="U134" s="6" t="s">
        <v>206</v>
      </c>
      <c r="V134" s="178">
        <v>0</v>
      </c>
    </row>
    <row r="135" spans="2:22" hidden="1" x14ac:dyDescent="0.25">
      <c r="B135" s="6" t="s">
        <v>207</v>
      </c>
      <c r="C135" s="6" t="s">
        <v>208</v>
      </c>
      <c r="D135" s="178">
        <f t="shared" si="6"/>
        <v>0</v>
      </c>
      <c r="H135" s="6" t="s">
        <v>207</v>
      </c>
      <c r="I135" s="6" t="s">
        <v>208</v>
      </c>
      <c r="J135" s="178">
        <v>0</v>
      </c>
      <c r="N135" s="6" t="s">
        <v>207</v>
      </c>
      <c r="O135" s="6" t="s">
        <v>208</v>
      </c>
      <c r="P135" s="178">
        <v>0</v>
      </c>
      <c r="T135" s="6" t="s">
        <v>207</v>
      </c>
      <c r="U135" s="6" t="s">
        <v>208</v>
      </c>
      <c r="V135" s="178">
        <v>0</v>
      </c>
    </row>
    <row r="136" spans="2:22" hidden="1" x14ac:dyDescent="0.25">
      <c r="B136" s="6" t="s">
        <v>209</v>
      </c>
      <c r="C136" s="6" t="s">
        <v>210</v>
      </c>
      <c r="D136" s="178">
        <f t="shared" si="6"/>
        <v>0</v>
      </c>
      <c r="H136" s="6" t="s">
        <v>209</v>
      </c>
      <c r="I136" s="6" t="s">
        <v>210</v>
      </c>
      <c r="J136" s="178">
        <v>0</v>
      </c>
      <c r="N136" s="6" t="s">
        <v>209</v>
      </c>
      <c r="O136" s="6" t="s">
        <v>210</v>
      </c>
      <c r="P136" s="178">
        <v>0</v>
      </c>
      <c r="T136" s="6" t="s">
        <v>209</v>
      </c>
      <c r="U136" s="6" t="s">
        <v>210</v>
      </c>
      <c r="V136" s="178">
        <v>0</v>
      </c>
    </row>
    <row r="137" spans="2:22" hidden="1" x14ac:dyDescent="0.25">
      <c r="B137" s="6" t="s">
        <v>211</v>
      </c>
      <c r="C137" s="6" t="s">
        <v>212</v>
      </c>
      <c r="D137" s="178">
        <f t="shared" si="6"/>
        <v>0</v>
      </c>
      <c r="H137" s="6" t="s">
        <v>211</v>
      </c>
      <c r="I137" s="6" t="s">
        <v>212</v>
      </c>
      <c r="J137" s="178">
        <v>0</v>
      </c>
      <c r="N137" s="6" t="s">
        <v>211</v>
      </c>
      <c r="O137" s="6" t="s">
        <v>212</v>
      </c>
      <c r="P137" s="178">
        <v>0</v>
      </c>
      <c r="T137" s="6" t="s">
        <v>211</v>
      </c>
      <c r="U137" s="6" t="s">
        <v>212</v>
      </c>
      <c r="V137" s="178">
        <v>0</v>
      </c>
    </row>
    <row r="138" spans="2:22" hidden="1" x14ac:dyDescent="0.25">
      <c r="B138" s="6" t="s">
        <v>213</v>
      </c>
      <c r="C138" s="6" t="s">
        <v>212</v>
      </c>
      <c r="D138" s="178">
        <f t="shared" si="6"/>
        <v>0</v>
      </c>
      <c r="H138" s="6" t="s">
        <v>213</v>
      </c>
      <c r="I138" s="6" t="s">
        <v>212</v>
      </c>
      <c r="J138" s="178">
        <v>0</v>
      </c>
      <c r="N138" s="6" t="s">
        <v>213</v>
      </c>
      <c r="O138" s="6" t="s">
        <v>212</v>
      </c>
      <c r="P138" s="178">
        <v>0</v>
      </c>
      <c r="T138" s="6" t="s">
        <v>213</v>
      </c>
      <c r="U138" s="6" t="s">
        <v>212</v>
      </c>
      <c r="V138" s="178">
        <v>0</v>
      </c>
    </row>
    <row r="139" spans="2:22" hidden="1" x14ac:dyDescent="0.25">
      <c r="B139" s="6" t="s">
        <v>214</v>
      </c>
      <c r="C139" s="6" t="s">
        <v>215</v>
      </c>
      <c r="D139" s="178">
        <f t="shared" si="6"/>
        <v>0</v>
      </c>
      <c r="H139" s="6" t="s">
        <v>214</v>
      </c>
      <c r="I139" s="6" t="s">
        <v>215</v>
      </c>
      <c r="J139" s="178">
        <v>0</v>
      </c>
      <c r="N139" s="6" t="s">
        <v>214</v>
      </c>
      <c r="O139" s="6" t="s">
        <v>215</v>
      </c>
      <c r="P139" s="178">
        <v>0</v>
      </c>
      <c r="T139" s="6" t="s">
        <v>214</v>
      </c>
      <c r="U139" s="6" t="s">
        <v>215</v>
      </c>
      <c r="V139" s="178">
        <v>0</v>
      </c>
    </row>
    <row r="140" spans="2:22" hidden="1" x14ac:dyDescent="0.25">
      <c r="B140" s="6" t="s">
        <v>216</v>
      </c>
      <c r="C140" s="6" t="s">
        <v>215</v>
      </c>
      <c r="D140" s="178">
        <f t="shared" si="6"/>
        <v>0</v>
      </c>
      <c r="H140" s="6" t="s">
        <v>216</v>
      </c>
      <c r="I140" s="6" t="s">
        <v>215</v>
      </c>
      <c r="J140" s="178">
        <v>0</v>
      </c>
      <c r="N140" s="6" t="s">
        <v>216</v>
      </c>
      <c r="O140" s="6" t="s">
        <v>215</v>
      </c>
      <c r="P140" s="178">
        <v>0</v>
      </c>
      <c r="T140" s="6" t="s">
        <v>216</v>
      </c>
      <c r="U140" s="6" t="s">
        <v>215</v>
      </c>
      <c r="V140" s="178">
        <v>0</v>
      </c>
    </row>
    <row r="141" spans="2:22" hidden="1" x14ac:dyDescent="0.25">
      <c r="B141" s="6" t="s">
        <v>217</v>
      </c>
      <c r="C141" s="6" t="s">
        <v>215</v>
      </c>
      <c r="D141" s="178">
        <f t="shared" si="6"/>
        <v>0</v>
      </c>
      <c r="H141" s="6" t="s">
        <v>217</v>
      </c>
      <c r="I141" s="6" t="s">
        <v>215</v>
      </c>
      <c r="J141" s="178">
        <v>0</v>
      </c>
      <c r="N141" s="6" t="s">
        <v>217</v>
      </c>
      <c r="O141" s="6" t="s">
        <v>215</v>
      </c>
      <c r="P141" s="178">
        <v>0</v>
      </c>
      <c r="T141" s="6" t="s">
        <v>217</v>
      </c>
      <c r="U141" s="6" t="s">
        <v>215</v>
      </c>
      <c r="V141" s="178">
        <v>0</v>
      </c>
    </row>
    <row r="142" spans="2:22" hidden="1" x14ac:dyDescent="0.25">
      <c r="B142" s="6" t="s">
        <v>218</v>
      </c>
      <c r="C142" s="6" t="s">
        <v>215</v>
      </c>
      <c r="D142" s="178">
        <f t="shared" si="6"/>
        <v>0</v>
      </c>
      <c r="H142" s="6" t="s">
        <v>218</v>
      </c>
      <c r="I142" s="6" t="s">
        <v>215</v>
      </c>
      <c r="J142" s="178">
        <v>0</v>
      </c>
      <c r="N142" s="6" t="s">
        <v>218</v>
      </c>
      <c r="O142" s="6" t="s">
        <v>215</v>
      </c>
      <c r="P142" s="178">
        <v>0</v>
      </c>
      <c r="T142" s="6" t="s">
        <v>218</v>
      </c>
      <c r="U142" s="6" t="s">
        <v>215</v>
      </c>
      <c r="V142" s="178">
        <v>0</v>
      </c>
    </row>
    <row r="143" spans="2:22" hidden="1" x14ac:dyDescent="0.25">
      <c r="B143" s="6" t="s">
        <v>219</v>
      </c>
      <c r="C143" s="6" t="s">
        <v>212</v>
      </c>
      <c r="D143" s="178">
        <f t="shared" si="6"/>
        <v>0</v>
      </c>
      <c r="H143" s="6" t="s">
        <v>219</v>
      </c>
      <c r="I143" s="6" t="s">
        <v>212</v>
      </c>
      <c r="J143" s="178">
        <v>2.3451849999999999</v>
      </c>
      <c r="N143" s="6" t="s">
        <v>219</v>
      </c>
      <c r="O143" s="6" t="s">
        <v>212</v>
      </c>
      <c r="P143" s="178">
        <v>2.3451849999999999</v>
      </c>
      <c r="T143" s="6" t="s">
        <v>219</v>
      </c>
      <c r="U143" s="6" t="s">
        <v>212</v>
      </c>
      <c r="V143" s="178">
        <v>0</v>
      </c>
    </row>
    <row r="144" spans="2:22" hidden="1" x14ac:dyDescent="0.25">
      <c r="B144" s="15" t="s">
        <v>220</v>
      </c>
      <c r="C144" s="15" t="s">
        <v>215</v>
      </c>
      <c r="D144" s="179">
        <f t="shared" si="6"/>
        <v>0</v>
      </c>
      <c r="H144" s="15" t="s">
        <v>220</v>
      </c>
      <c r="I144" s="15" t="s">
        <v>215</v>
      </c>
      <c r="J144" s="179">
        <v>0</v>
      </c>
      <c r="N144" s="15" t="s">
        <v>220</v>
      </c>
      <c r="O144" s="15" t="s">
        <v>215</v>
      </c>
      <c r="P144" s="179">
        <v>0</v>
      </c>
      <c r="T144" s="15" t="s">
        <v>220</v>
      </c>
      <c r="U144" s="15" t="s">
        <v>215</v>
      </c>
      <c r="V144" s="179">
        <v>2.3451849999999999</v>
      </c>
    </row>
    <row r="145" spans="2:22" hidden="1" x14ac:dyDescent="0.25">
      <c r="B145" s="6" t="s">
        <v>221</v>
      </c>
      <c r="C145" s="6" t="s">
        <v>215</v>
      </c>
      <c r="D145" s="178">
        <f t="shared" si="6"/>
        <v>0</v>
      </c>
      <c r="H145" s="6" t="s">
        <v>221</v>
      </c>
      <c r="I145" s="6" t="s">
        <v>215</v>
      </c>
      <c r="J145" s="178">
        <v>0</v>
      </c>
      <c r="N145" s="6" t="s">
        <v>221</v>
      </c>
      <c r="O145" s="6" t="s">
        <v>215</v>
      </c>
      <c r="P145" s="178">
        <v>0</v>
      </c>
      <c r="T145" s="6" t="s">
        <v>221</v>
      </c>
      <c r="U145" s="6" t="s">
        <v>215</v>
      </c>
      <c r="V145" s="178">
        <v>0</v>
      </c>
    </row>
    <row r="146" spans="2:22" hidden="1" x14ac:dyDescent="0.25">
      <c r="B146" s="6" t="s">
        <v>222</v>
      </c>
      <c r="C146" s="6" t="s">
        <v>215</v>
      </c>
      <c r="D146" s="178">
        <f t="shared" si="6"/>
        <v>0</v>
      </c>
      <c r="H146" s="6" t="s">
        <v>222</v>
      </c>
      <c r="I146" s="6" t="s">
        <v>215</v>
      </c>
      <c r="J146" s="178">
        <v>0</v>
      </c>
      <c r="N146" s="6" t="s">
        <v>222</v>
      </c>
      <c r="O146" s="6" t="s">
        <v>215</v>
      </c>
      <c r="P146" s="178">
        <v>0</v>
      </c>
      <c r="T146" s="6" t="s">
        <v>222</v>
      </c>
      <c r="U146" s="6" t="s">
        <v>215</v>
      </c>
      <c r="V146" s="178">
        <v>0</v>
      </c>
    </row>
    <row r="147" spans="2:22" hidden="1" x14ac:dyDescent="0.25">
      <c r="B147" s="6" t="s">
        <v>223</v>
      </c>
      <c r="C147" s="6" t="s">
        <v>215</v>
      </c>
      <c r="D147" s="178">
        <f t="shared" si="6"/>
        <v>0</v>
      </c>
      <c r="H147" s="6" t="s">
        <v>223</v>
      </c>
      <c r="I147" s="6" t="s">
        <v>215</v>
      </c>
      <c r="J147" s="178">
        <v>0</v>
      </c>
      <c r="N147" s="6" t="s">
        <v>223</v>
      </c>
      <c r="O147" s="6" t="s">
        <v>215</v>
      </c>
      <c r="P147" s="178">
        <v>0</v>
      </c>
      <c r="T147" s="6" t="s">
        <v>223</v>
      </c>
      <c r="U147" s="6" t="s">
        <v>215</v>
      </c>
      <c r="V147" s="178">
        <v>0</v>
      </c>
    </row>
    <row r="148" spans="2:22" hidden="1" x14ac:dyDescent="0.25">
      <c r="B148" s="6" t="s">
        <v>224</v>
      </c>
      <c r="C148" s="6" t="s">
        <v>212</v>
      </c>
      <c r="D148" s="178">
        <f t="shared" si="6"/>
        <v>0</v>
      </c>
      <c r="H148" s="6" t="s">
        <v>224</v>
      </c>
      <c r="I148" s="6" t="s">
        <v>212</v>
      </c>
      <c r="J148" s="178">
        <v>0</v>
      </c>
      <c r="N148" s="6" t="s">
        <v>224</v>
      </c>
      <c r="O148" s="6" t="s">
        <v>212</v>
      </c>
      <c r="P148" s="178">
        <v>0</v>
      </c>
      <c r="T148" s="6" t="s">
        <v>224</v>
      </c>
      <c r="U148" s="6" t="s">
        <v>212</v>
      </c>
      <c r="V148" s="178">
        <v>0</v>
      </c>
    </row>
    <row r="149" spans="2:22" hidden="1" x14ac:dyDescent="0.25"/>
    <row r="150" spans="2:22" hidden="1" x14ac:dyDescent="0.25"/>
    <row r="151" spans="2:22" hidden="1" x14ac:dyDescent="0.25"/>
    <row r="158" spans="2:22" ht="16.5" thickBot="1" x14ac:dyDescent="0.3">
      <c r="B158" s="16"/>
      <c r="C158" s="16"/>
      <c r="D158" s="181"/>
      <c r="H158" s="16"/>
      <c r="I158" s="16"/>
      <c r="J158" s="181"/>
      <c r="N158" s="16"/>
      <c r="O158" s="16"/>
      <c r="P158" s="181"/>
      <c r="T158" s="16"/>
      <c r="U158" s="16"/>
      <c r="V158" s="181"/>
    </row>
  </sheetData>
  <sheetProtection algorithmName="SHA-512" hashValue="tX3pd645/Hu8+jLRgRwQ2qVdkzA6qIRJpRLBvIKkIV8afuAPp+a+czhf4hgil6lMilKJUgrHlth5Aie+VkbE7w==" saltValue="QygiglBoR4ugg9mIQASLhQ==" spinCount="100000" sheet="1" objects="1" scenarios="1"/>
  <sortState xmlns:xlrd2="http://schemas.microsoft.com/office/spreadsheetml/2017/richdata2" ref="A6:E15">
    <sortCondition descending="1" ref="C6:C15"/>
  </sortState>
  <mergeCells count="12">
    <mergeCell ref="A1:C1"/>
    <mergeCell ref="D2:E2"/>
    <mergeCell ref="D3:E3"/>
    <mergeCell ref="S1:U1"/>
    <mergeCell ref="V2:W2"/>
    <mergeCell ref="V3:W3"/>
    <mergeCell ref="M1:O1"/>
    <mergeCell ref="P2:Q2"/>
    <mergeCell ref="P3:Q3"/>
    <mergeCell ref="G1:I1"/>
    <mergeCell ref="J2:K2"/>
    <mergeCell ref="J3:K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O45"/>
  <sheetViews>
    <sheetView zoomScale="70" zoomScaleNormal="70" workbookViewId="0">
      <pane xSplit="2" ySplit="7" topLeftCell="C8" activePane="bottomRight" state="frozen"/>
      <selection activeCell="F12" sqref="F11:K12"/>
      <selection pane="topRight" activeCell="F12" sqref="F11:K12"/>
      <selection pane="bottomLeft" activeCell="F12" sqref="F11:K12"/>
      <selection pane="bottomRight" activeCell="N1" sqref="N1"/>
    </sheetView>
  </sheetViews>
  <sheetFormatPr defaultRowHeight="15.75" x14ac:dyDescent="0.25"/>
  <cols>
    <col min="1" max="1" width="29" style="40" bestFit="1" customWidth="1"/>
    <col min="2" max="2" width="12.77734375" style="39" customWidth="1"/>
    <col min="3" max="11" width="10.77734375" style="63" customWidth="1"/>
    <col min="12" max="12" width="12.77734375" style="39" customWidth="1"/>
    <col min="13" max="13" width="1.77734375" style="39" customWidth="1"/>
    <col min="14" max="14" width="13.77734375" style="88" customWidth="1"/>
    <col min="15" max="15" width="15.33203125" style="39" customWidth="1"/>
    <col min="16" max="16384" width="8.88671875" style="39"/>
  </cols>
  <sheetData>
    <row r="1" spans="1:15" ht="19.5" thickTop="1" thickBot="1" x14ac:dyDescent="0.3">
      <c r="A1" s="284" t="s">
        <v>165</v>
      </c>
      <c r="B1" s="285"/>
      <c r="C1" s="39"/>
      <c r="D1" s="39"/>
      <c r="E1" s="39"/>
      <c r="F1" s="215"/>
      <c r="G1" s="39"/>
      <c r="H1" s="39"/>
      <c r="I1" s="39"/>
      <c r="J1" s="39"/>
      <c r="K1" s="39"/>
      <c r="N1" s="195"/>
    </row>
    <row r="2" spans="1:15" ht="17.25" thickTop="1" thickBot="1" x14ac:dyDescent="0.3">
      <c r="C2" s="39"/>
      <c r="D2" s="39"/>
      <c r="E2" s="39"/>
      <c r="F2" s="215"/>
      <c r="G2" s="39"/>
      <c r="H2" s="39"/>
      <c r="I2" s="39"/>
      <c r="J2" s="39"/>
      <c r="K2" s="39"/>
      <c r="N2" s="39"/>
    </row>
    <row r="3" spans="1:15" ht="16.5" thickBot="1" x14ac:dyDescent="0.3">
      <c r="A3" s="41" t="s">
        <v>177</v>
      </c>
      <c r="B3" s="42">
        <v>0</v>
      </c>
      <c r="C3" s="39"/>
      <c r="D3" s="39"/>
      <c r="E3" s="39"/>
      <c r="F3" s="215"/>
      <c r="G3" s="39"/>
      <c r="H3" s="39"/>
      <c r="I3" s="39"/>
      <c r="J3" s="39"/>
      <c r="K3" s="39"/>
      <c r="N3" s="39"/>
    </row>
    <row r="4" spans="1:15" ht="16.5" thickBot="1" x14ac:dyDescent="0.3">
      <c r="C4" s="39"/>
      <c r="D4" s="39"/>
      <c r="E4" s="39"/>
      <c r="F4" s="215"/>
      <c r="G4" s="39"/>
      <c r="H4" s="39"/>
      <c r="I4" s="39"/>
      <c r="J4" s="39"/>
      <c r="K4" s="39"/>
      <c r="N4" s="39"/>
    </row>
    <row r="5" spans="1:15" x14ac:dyDescent="0.25">
      <c r="A5" s="286" t="s">
        <v>155</v>
      </c>
      <c r="B5" s="289" t="s">
        <v>234</v>
      </c>
      <c r="C5" s="292" t="s">
        <v>235</v>
      </c>
      <c r="D5" s="292"/>
      <c r="E5" s="292"/>
      <c r="F5" s="292"/>
      <c r="G5" s="292"/>
      <c r="H5" s="292"/>
      <c r="I5" s="292"/>
      <c r="J5" s="292"/>
      <c r="K5" s="293"/>
      <c r="L5" s="294" t="s">
        <v>160</v>
      </c>
      <c r="N5" s="296" t="s">
        <v>161</v>
      </c>
      <c r="O5" s="279" t="s">
        <v>233</v>
      </c>
    </row>
    <row r="6" spans="1:15" ht="16.5" thickBot="1" x14ac:dyDescent="0.3">
      <c r="A6" s="287"/>
      <c r="B6" s="290"/>
      <c r="C6" s="209" t="s">
        <v>130</v>
      </c>
      <c r="D6" s="210" t="s">
        <v>156</v>
      </c>
      <c r="E6" s="210" t="s">
        <v>157</v>
      </c>
      <c r="F6" s="216" t="s">
        <v>251</v>
      </c>
      <c r="G6" s="210" t="s">
        <v>158</v>
      </c>
      <c r="H6" s="210" t="s">
        <v>159</v>
      </c>
      <c r="I6" s="213" t="s">
        <v>259</v>
      </c>
      <c r="J6" s="210" t="s">
        <v>252</v>
      </c>
      <c r="K6" s="211" t="s">
        <v>134</v>
      </c>
      <c r="L6" s="295"/>
      <c r="N6" s="297"/>
      <c r="O6" s="280"/>
    </row>
    <row r="7" spans="1:15" ht="18.75" thickBot="1" x14ac:dyDescent="0.3">
      <c r="A7" s="288"/>
      <c r="B7" s="291"/>
      <c r="C7" s="212">
        <f>C44</f>
        <v>0</v>
      </c>
      <c r="D7" s="212">
        <f t="shared" ref="D7:K7" si="0">D44</f>
        <v>0</v>
      </c>
      <c r="E7" s="212">
        <f t="shared" si="0"/>
        <v>0</v>
      </c>
      <c r="F7" s="217">
        <f t="shared" si="0"/>
        <v>0</v>
      </c>
      <c r="G7" s="212">
        <f t="shared" si="0"/>
        <v>0</v>
      </c>
      <c r="H7" s="212">
        <f t="shared" si="0"/>
        <v>0</v>
      </c>
      <c r="I7" s="212">
        <f t="shared" si="0"/>
        <v>0</v>
      </c>
      <c r="J7" s="212">
        <f t="shared" si="0"/>
        <v>0</v>
      </c>
      <c r="K7" s="212">
        <f t="shared" si="0"/>
        <v>0</v>
      </c>
      <c r="L7" s="208">
        <f>SUM(C7:K7)</f>
        <v>0</v>
      </c>
      <c r="N7" s="43" t="s">
        <v>162</v>
      </c>
      <c r="O7" s="44">
        <v>40</v>
      </c>
    </row>
    <row r="8" spans="1:15" ht="30" customHeight="1" x14ac:dyDescent="0.25">
      <c r="A8" s="45" t="s">
        <v>164</v>
      </c>
      <c r="B8" s="46"/>
      <c r="C8" s="281" t="s">
        <v>229</v>
      </c>
      <c r="D8" s="282"/>
      <c r="E8" s="282"/>
      <c r="F8" s="282"/>
      <c r="G8" s="282"/>
      <c r="H8" s="282"/>
      <c r="I8" s="282"/>
      <c r="J8" s="282"/>
      <c r="K8" s="283"/>
      <c r="L8" s="47"/>
      <c r="N8" s="48"/>
      <c r="O8" s="49" t="s">
        <v>163</v>
      </c>
    </row>
    <row r="9" spans="1:15" x14ac:dyDescent="0.25">
      <c r="A9" s="6" t="s">
        <v>269</v>
      </c>
      <c r="B9" s="51">
        <f t="shared" ref="B9:B15" si="1">IF(ISNA(VLOOKUP($A9,RMP_MFH,2,FALSE)),"N/A",VLOOKUP($A9,RMP_MFH,2,FALSE))</f>
        <v>468</v>
      </c>
      <c r="C9" s="52">
        <f t="shared" ref="C9:C38" si="2">IF(ISNA(VLOOKUP($A9,Lactation,2,FALSE)),0,VLOOKUP($A9,Lactation,2,FALSE))</f>
        <v>100</v>
      </c>
      <c r="D9" s="53">
        <f t="shared" ref="D9:D15" si="3">IF(ISNA(VLOOKUP($A9,Gestation,2,FALSE)),0,VLOOKUP($A9,Gestation,2,FALSE))</f>
        <v>0</v>
      </c>
      <c r="E9" s="53">
        <f>IF(ISNA(VLOOKUP($A9,Gilt_Dev,2,FALSE)),0,VLOOKUP($A9,Gilt_Dev,2,FALSE))</f>
        <v>0</v>
      </c>
      <c r="F9" s="63">
        <f>IF(ISNA(VLOOKUP($A9,'Starter 1'!$B$7:$C$31,2,FALSE)),0,VLOOKUP($A9,'Starter 1'!$B$7:$C$31,2,FALSE))</f>
        <v>316.96177</v>
      </c>
      <c r="G9" s="53">
        <f t="shared" ref="G9:G15" si="4">IF(ISNA(VLOOKUP($A9,Str_2,2,FALSE)),0,VLOOKUP($A9,Str_2,2,FALSE))</f>
        <v>300.08116999999999</v>
      </c>
      <c r="H9" s="53">
        <f t="shared" ref="H9:H15" si="5">IF(ISNA(VLOOKUP($A9,Pre_Grower,2,FALSE)),0,VLOOKUP($A9,Pre_Grower,2,FALSE))</f>
        <v>150</v>
      </c>
      <c r="I9" s="53">
        <f t="shared" ref="I9:I15" si="6">IF(ISNA(VLOOKUP($A9,Grower,2,FALSE)),0,VLOOKUP($A9,Grower,2,FALSE))</f>
        <v>0</v>
      </c>
      <c r="J9" s="53">
        <f t="shared" ref="J9:J22" si="7">IF(ISNA(VLOOKUP($A9,Grower2,2,FALSE)),0,VLOOKUP($A9,Grower2,2,FALSE))</f>
        <v>0</v>
      </c>
      <c r="K9" s="54">
        <f t="shared" ref="K9:K15" si="8">IF(ISNA(VLOOKUP($A9,Finisher,2,FALSE)),0,VLOOKUP($A9,Finisher,2,FALSE))</f>
        <v>0</v>
      </c>
      <c r="L9" s="55"/>
      <c r="N9" s="56" cm="1">
        <f t="array" ref="N9">SUMPRODUCT(Feed_Tonnes,C9:K9/1000)</f>
        <v>0</v>
      </c>
      <c r="O9" s="57">
        <f t="shared" ref="O9:O22" si="9">N9/Truck_Load_Size</f>
        <v>0</v>
      </c>
    </row>
    <row r="10" spans="1:15" x14ac:dyDescent="0.25">
      <c r="A10" s="50" t="s">
        <v>17</v>
      </c>
      <c r="B10" s="51">
        <f t="shared" si="1"/>
        <v>430</v>
      </c>
      <c r="C10" s="52">
        <f t="shared" si="2"/>
        <v>0</v>
      </c>
      <c r="D10" s="53">
        <f t="shared" si="3"/>
        <v>0</v>
      </c>
      <c r="E10" s="53">
        <f t="shared" ref="E10:E15" si="10">IF(ISNA(VLOOKUP($A10,Gilt_Dev,2,FALSE)),0,VLOOKUP($A10,Gilt_Dev,2,FALSE))</f>
        <v>0</v>
      </c>
      <c r="F10" s="63">
        <f>IF(ISNA(VLOOKUP($A10,'Starter 1'!$B$7:$C$31,2,FALSE)),0,VLOOKUP($A10,'Starter 1'!$B$7:$C$31,2,FALSE))</f>
        <v>100</v>
      </c>
      <c r="G10" s="53">
        <f t="shared" si="4"/>
        <v>50</v>
      </c>
      <c r="H10" s="53">
        <f t="shared" si="5"/>
        <v>0</v>
      </c>
      <c r="I10" s="53">
        <f t="shared" si="6"/>
        <v>0</v>
      </c>
      <c r="J10" s="53">
        <f t="shared" si="7"/>
        <v>0</v>
      </c>
      <c r="K10" s="54">
        <f t="shared" si="8"/>
        <v>0</v>
      </c>
      <c r="L10" s="55"/>
      <c r="N10" s="56">
        <f>SUMPRODUCT(Feed_Tonnes,C10:K10/1000)</f>
        <v>0</v>
      </c>
      <c r="O10" s="57">
        <f t="shared" si="9"/>
        <v>0</v>
      </c>
    </row>
    <row r="11" spans="1:15" x14ac:dyDescent="0.25">
      <c r="A11" s="6" t="s">
        <v>16</v>
      </c>
      <c r="B11" s="51">
        <f t="shared" si="1"/>
        <v>404</v>
      </c>
      <c r="C11" s="52">
        <f t="shared" si="2"/>
        <v>556.14069999999992</v>
      </c>
      <c r="D11" s="53">
        <f t="shared" si="3"/>
        <v>463.05073999999996</v>
      </c>
      <c r="E11" s="53">
        <f t="shared" si="10"/>
        <v>518.67570000000001</v>
      </c>
      <c r="F11" s="63">
        <f>IF(ISNA(VLOOKUP($A11,'Starter 1'!$B$7:$C$31,2,FALSE)),0,VLOOKUP($A11,'Starter 1'!$B$7:$C$31,2,FALSE))</f>
        <v>0</v>
      </c>
      <c r="G11" s="53">
        <f t="shared" si="4"/>
        <v>119</v>
      </c>
      <c r="H11" s="53">
        <f>IF(ISNA(VLOOKUP($A11,Pre_Grower,2,FALSE)),0,VLOOKUP($A11,Pre_Grower,2,FALSE))</f>
        <v>420.79999999999995</v>
      </c>
      <c r="I11" s="53">
        <f t="shared" si="6"/>
        <v>500.05</v>
      </c>
      <c r="J11" s="53">
        <f t="shared" si="7"/>
        <v>548.29999999999995</v>
      </c>
      <c r="K11" s="54">
        <f t="shared" si="8"/>
        <v>628.08617000000004</v>
      </c>
      <c r="L11" s="55"/>
      <c r="N11" s="56">
        <f>SUMPRODUCT(Feed_Tonnes,C11:K11/1000)</f>
        <v>0</v>
      </c>
      <c r="O11" s="57">
        <f>N11/Truck_Load_Size</f>
        <v>0</v>
      </c>
    </row>
    <row r="12" spans="1:15" x14ac:dyDescent="0.25">
      <c r="A12" s="50" t="s">
        <v>109</v>
      </c>
      <c r="B12" s="51">
        <f t="shared" si="1"/>
        <v>450</v>
      </c>
      <c r="C12" s="52">
        <f t="shared" si="2"/>
        <v>100</v>
      </c>
      <c r="D12" s="53">
        <f t="shared" si="3"/>
        <v>100</v>
      </c>
      <c r="E12" s="53">
        <f t="shared" si="10"/>
        <v>100</v>
      </c>
      <c r="F12" s="63">
        <f>IF(ISNA(VLOOKUP($A12,'Starter 1'!$B$7:$C$31,2,FALSE)),0,VLOOKUP($A12,'Starter 1'!$B$7:$C$31,2,FALSE))</f>
        <v>50</v>
      </c>
      <c r="G12" s="53">
        <f t="shared" si="4"/>
        <v>150</v>
      </c>
      <c r="H12" s="53">
        <f t="shared" si="5"/>
        <v>150</v>
      </c>
      <c r="I12" s="53">
        <f t="shared" si="6"/>
        <v>200</v>
      </c>
      <c r="J12" s="53">
        <f t="shared" si="7"/>
        <v>200</v>
      </c>
      <c r="K12" s="54">
        <f t="shared" si="8"/>
        <v>150</v>
      </c>
      <c r="L12" s="55"/>
      <c r="N12" s="56">
        <f>SUMPRODUCT(Feed_Tonnes,C12:K12/1000)</f>
        <v>0</v>
      </c>
      <c r="O12" s="57">
        <f t="shared" si="9"/>
        <v>0</v>
      </c>
    </row>
    <row r="13" spans="1:15" x14ac:dyDescent="0.25">
      <c r="A13" s="214" t="s">
        <v>270</v>
      </c>
      <c r="B13" s="51">
        <f t="shared" si="1"/>
        <v>422</v>
      </c>
      <c r="C13" s="52">
        <f t="shared" si="2"/>
        <v>0</v>
      </c>
      <c r="D13" s="53">
        <f t="shared" si="3"/>
        <v>350</v>
      </c>
      <c r="E13" s="53">
        <f t="shared" si="10"/>
        <v>244</v>
      </c>
      <c r="F13" s="63">
        <f>IF(ISNA(VLOOKUP($A13,'Starter 1'!$B$7:$C$31,2,FALSE)),0,VLOOKUP($A13,'Starter 1'!$B$7:$C$31,2,FALSE))</f>
        <v>0</v>
      </c>
      <c r="G13" s="53">
        <f t="shared" si="4"/>
        <v>0</v>
      </c>
      <c r="H13" s="53">
        <f t="shared" si="5"/>
        <v>0</v>
      </c>
      <c r="I13" s="53">
        <f t="shared" si="6"/>
        <v>0</v>
      </c>
      <c r="J13" s="53">
        <f t="shared" si="7"/>
        <v>0</v>
      </c>
      <c r="K13" s="54">
        <f t="shared" si="8"/>
        <v>0</v>
      </c>
      <c r="L13" s="55"/>
      <c r="N13" s="56" cm="1">
        <f t="array" ref="N13">SUMPRODUCT(Feed_Tonnes,C13:K13/1000)</f>
        <v>0</v>
      </c>
      <c r="O13" s="57">
        <f t="shared" si="9"/>
        <v>0</v>
      </c>
    </row>
    <row r="14" spans="1:15" x14ac:dyDescent="0.25">
      <c r="A14" s="50" t="s">
        <v>113</v>
      </c>
      <c r="B14" s="51">
        <f t="shared" si="1"/>
        <v>556</v>
      </c>
      <c r="C14" s="52">
        <f t="shared" si="2"/>
        <v>0</v>
      </c>
      <c r="D14" s="53">
        <f t="shared" si="3"/>
        <v>0</v>
      </c>
      <c r="E14" s="53">
        <f t="shared" si="10"/>
        <v>0</v>
      </c>
      <c r="F14" s="63">
        <f>IF(ISNA(VLOOKUP($A14,'Starter 1'!$B$7:$C$31,2,FALSE)),0,VLOOKUP($A14,'Starter 1'!$B$7:$C$31,2,FALSE))</f>
        <v>0</v>
      </c>
      <c r="G14" s="53">
        <f t="shared" si="4"/>
        <v>0</v>
      </c>
      <c r="H14" s="53">
        <f t="shared" si="5"/>
        <v>0</v>
      </c>
      <c r="I14" s="53">
        <f t="shared" si="6"/>
        <v>0</v>
      </c>
      <c r="J14" s="53">
        <f t="shared" si="7"/>
        <v>0</v>
      </c>
      <c r="K14" s="54">
        <f t="shared" si="8"/>
        <v>0</v>
      </c>
      <c r="L14" s="55"/>
      <c r="N14" s="56">
        <f t="shared" ref="N14:N22" si="11">SUMPRODUCT(Feed_Tonnes,C14:K14/1000)</f>
        <v>0</v>
      </c>
      <c r="O14" s="57">
        <f>N14/Truck_Load_Size</f>
        <v>0</v>
      </c>
    </row>
    <row r="15" spans="1:15" x14ac:dyDescent="0.25">
      <c r="A15" s="214" t="s">
        <v>272</v>
      </c>
      <c r="B15" s="51">
        <f t="shared" si="1"/>
        <v>618</v>
      </c>
      <c r="C15" s="52">
        <f t="shared" si="2"/>
        <v>147</v>
      </c>
      <c r="D15" s="53">
        <f t="shared" si="3"/>
        <v>0</v>
      </c>
      <c r="E15" s="53">
        <f t="shared" si="10"/>
        <v>55</v>
      </c>
      <c r="F15" s="63">
        <f>IF(ISNA(VLOOKUP($A15,'Starter 1'!$B$7:$C$31,2,FALSE)),0,VLOOKUP($A15,'Starter 1'!$B$7:$C$31,2,FALSE))</f>
        <v>150</v>
      </c>
      <c r="G15" s="53">
        <f t="shared" si="4"/>
        <v>228</v>
      </c>
      <c r="H15" s="53">
        <f t="shared" si="5"/>
        <v>241</v>
      </c>
      <c r="I15" s="53">
        <f t="shared" si="6"/>
        <v>116</v>
      </c>
      <c r="J15" s="53">
        <f t="shared" si="7"/>
        <v>29</v>
      </c>
      <c r="K15" s="54">
        <f t="shared" si="8"/>
        <v>0</v>
      </c>
      <c r="L15" s="55"/>
      <c r="N15" s="56">
        <f t="shared" si="11"/>
        <v>0</v>
      </c>
      <c r="O15" s="57">
        <f>N15/Truck_Load_Size</f>
        <v>0</v>
      </c>
    </row>
    <row r="16" spans="1:15" x14ac:dyDescent="0.25">
      <c r="A16" s="50" t="s">
        <v>110</v>
      </c>
      <c r="B16" s="51">
        <f t="shared" ref="B16:B22" si="12">IF(ISNA(VLOOKUP($A16,RMP_MFH,2,FALSE)),"N/A",VLOOKUP($A16,RMP_MFH,2,FALSE))</f>
        <v>900</v>
      </c>
      <c r="C16" s="52">
        <f t="shared" si="2"/>
        <v>0</v>
      </c>
      <c r="D16" s="53">
        <f t="shared" ref="D16:D22" si="13">IF(ISNA(VLOOKUP($A16,Gestation,2,FALSE)),0,VLOOKUP($A16,Gestation,2,FALSE))</f>
        <v>0</v>
      </c>
      <c r="E16" s="53">
        <f t="shared" ref="E16:E22" si="14">IF(ISNA(VLOOKUP($A16,Gilt_Dev,2,FALSE)),0,VLOOKUP($A16,Gilt_Dev,2,FALSE))</f>
        <v>0</v>
      </c>
      <c r="F16" s="63">
        <f>IF(ISNA(VLOOKUP($A16,'Starter 1'!$B$7:$C$31,2,FALSE)),0,VLOOKUP($A16,'Starter 1'!$B$7:$C$31,2,FALSE))</f>
        <v>0</v>
      </c>
      <c r="G16" s="53">
        <f t="shared" ref="G16:G22" si="15">IF(ISNA(VLOOKUP($A16,Str_2,2,FALSE)),0,VLOOKUP($A16,Str_2,2,FALSE))</f>
        <v>0</v>
      </c>
      <c r="H16" s="53">
        <f>IF(ISNA(VLOOKUP($A16,Pre_Grower,2,FALSE)),0,VLOOKUP($A16,Pre_Grower,2,FALSE))</f>
        <v>0</v>
      </c>
      <c r="I16" s="53">
        <f t="shared" ref="I16:I22" si="16">IF(ISNA(VLOOKUP($A16,Grower,2,FALSE)),0,VLOOKUP($A16,Grower,2,FALSE))</f>
        <v>0</v>
      </c>
      <c r="J16" s="53">
        <f t="shared" si="7"/>
        <v>0</v>
      </c>
      <c r="K16" s="54">
        <f t="shared" ref="K16:K22" si="17">IF(ISNA(VLOOKUP($A16,Finisher,2,FALSE)),0,VLOOKUP($A16,Finisher,2,FALSE))</f>
        <v>0</v>
      </c>
      <c r="L16" s="55"/>
      <c r="N16" s="56">
        <f t="shared" si="11"/>
        <v>0</v>
      </c>
      <c r="O16" s="57">
        <f t="shared" si="9"/>
        <v>0</v>
      </c>
    </row>
    <row r="17" spans="1:15" x14ac:dyDescent="0.25">
      <c r="A17" s="50" t="s">
        <v>15</v>
      </c>
      <c r="B17" s="51">
        <f t="shared" si="12"/>
        <v>556</v>
      </c>
      <c r="C17" s="52">
        <f t="shared" si="2"/>
        <v>0</v>
      </c>
      <c r="D17" s="53">
        <f t="shared" si="13"/>
        <v>0</v>
      </c>
      <c r="E17" s="53">
        <f t="shared" si="14"/>
        <v>0</v>
      </c>
      <c r="F17" s="63">
        <f>IF(ISNA(VLOOKUP($A17,'Starter 1'!$B$7:$C$31,2,FALSE)),0,VLOOKUP($A17,'Starter 1'!$B$7:$C$31,2,FALSE))</f>
        <v>50</v>
      </c>
      <c r="G17" s="53">
        <f t="shared" si="15"/>
        <v>0</v>
      </c>
      <c r="H17" s="53">
        <f>IF(ISNA(VLOOKUP($A17,Pre_Grower,2,FALSE)),0,VLOOKUP($A17,Pre_Grower,2,FALSE))</f>
        <v>0</v>
      </c>
      <c r="I17" s="53">
        <f t="shared" si="16"/>
        <v>0</v>
      </c>
      <c r="J17" s="53">
        <f t="shared" si="7"/>
        <v>0</v>
      </c>
      <c r="K17" s="54">
        <f t="shared" si="17"/>
        <v>0</v>
      </c>
      <c r="L17" s="55"/>
      <c r="N17" s="56">
        <f t="shared" si="11"/>
        <v>0</v>
      </c>
      <c r="O17" s="57">
        <f t="shared" si="9"/>
        <v>0</v>
      </c>
    </row>
    <row r="18" spans="1:15" x14ac:dyDescent="0.25">
      <c r="A18" s="50" t="s">
        <v>112</v>
      </c>
      <c r="B18" s="51">
        <f t="shared" si="12"/>
        <v>457</v>
      </c>
      <c r="C18" s="52">
        <f t="shared" si="2"/>
        <v>50</v>
      </c>
      <c r="D18" s="53">
        <f t="shared" si="13"/>
        <v>50</v>
      </c>
      <c r="E18" s="53">
        <f t="shared" si="14"/>
        <v>50</v>
      </c>
      <c r="F18" s="63">
        <f>IF(ISNA(VLOOKUP($A18,'Starter 1'!$B$7:$C$31,2,FALSE)),0,VLOOKUP($A18,'Starter 1'!$B$7:$C$31,2,FALSE))</f>
        <v>0</v>
      </c>
      <c r="G18" s="53">
        <f t="shared" si="15"/>
        <v>0</v>
      </c>
      <c r="H18" s="53">
        <f t="shared" ref="H18:H22" si="18">IF(ISNA(VLOOKUP($A18,Pre_Grower,2,FALSE)),0,VLOOKUP($A18,Pre_Grower,2,FALSE))</f>
        <v>0</v>
      </c>
      <c r="I18" s="53">
        <f t="shared" si="16"/>
        <v>159</v>
      </c>
      <c r="J18" s="53">
        <f t="shared" si="7"/>
        <v>200</v>
      </c>
      <c r="K18" s="54">
        <f t="shared" si="17"/>
        <v>200</v>
      </c>
      <c r="L18" s="55"/>
      <c r="N18" s="56">
        <f t="shared" si="11"/>
        <v>0</v>
      </c>
      <c r="O18" s="57">
        <f t="shared" si="9"/>
        <v>0</v>
      </c>
    </row>
    <row r="19" spans="1:15" x14ac:dyDescent="0.25">
      <c r="A19" s="50" t="s">
        <v>114</v>
      </c>
      <c r="B19" s="51">
        <f t="shared" si="12"/>
        <v>1950</v>
      </c>
      <c r="C19" s="52">
        <f t="shared" si="2"/>
        <v>0</v>
      </c>
      <c r="D19" s="53">
        <f t="shared" si="13"/>
        <v>0</v>
      </c>
      <c r="E19" s="53">
        <f t="shared" si="14"/>
        <v>0</v>
      </c>
      <c r="F19" s="63">
        <f>IF(ISNA(VLOOKUP($A19,'Starter 1'!$B$7:$C$31,2,FALSE)),0,VLOOKUP($A19,'Starter 1'!$B$7:$C$31,2,FALSE))</f>
        <v>124</v>
      </c>
      <c r="G19" s="53">
        <f t="shared" si="15"/>
        <v>25</v>
      </c>
      <c r="H19" s="53">
        <f t="shared" si="18"/>
        <v>0</v>
      </c>
      <c r="I19" s="53">
        <f t="shared" si="16"/>
        <v>0</v>
      </c>
      <c r="J19" s="53">
        <f t="shared" si="7"/>
        <v>0</v>
      </c>
      <c r="K19" s="54">
        <f t="shared" si="17"/>
        <v>0</v>
      </c>
      <c r="L19" s="55"/>
      <c r="N19" s="56">
        <f t="shared" si="11"/>
        <v>0</v>
      </c>
      <c r="O19" s="57">
        <f>N19/Truck_Load_Size</f>
        <v>0</v>
      </c>
    </row>
    <row r="20" spans="1:15" x14ac:dyDescent="0.25">
      <c r="A20" s="50" t="s">
        <v>115</v>
      </c>
      <c r="B20" s="51">
        <f t="shared" si="12"/>
        <v>1230</v>
      </c>
      <c r="C20" s="52">
        <f t="shared" si="2"/>
        <v>0</v>
      </c>
      <c r="D20" s="53">
        <f t="shared" si="13"/>
        <v>0</v>
      </c>
      <c r="E20" s="53">
        <f t="shared" si="14"/>
        <v>0</v>
      </c>
      <c r="F20" s="63">
        <f>IF(ISNA(VLOOKUP($A20,'Starter 1'!$B$7:$C$31,2,FALSE)),0,VLOOKUP($A20,'Starter 1'!$B$7:$C$31,2,FALSE))</f>
        <v>150</v>
      </c>
      <c r="G20" s="53">
        <f t="shared" si="15"/>
        <v>75</v>
      </c>
      <c r="H20" s="53">
        <f t="shared" si="18"/>
        <v>0</v>
      </c>
      <c r="I20" s="53">
        <f t="shared" si="16"/>
        <v>0</v>
      </c>
      <c r="J20" s="53">
        <f t="shared" si="7"/>
        <v>0</v>
      </c>
      <c r="K20" s="54">
        <f t="shared" si="17"/>
        <v>0</v>
      </c>
      <c r="L20" s="55"/>
      <c r="N20" s="56">
        <f t="shared" si="11"/>
        <v>0</v>
      </c>
      <c r="O20" s="57">
        <f t="shared" si="9"/>
        <v>0</v>
      </c>
    </row>
    <row r="21" spans="1:15" x14ac:dyDescent="0.25">
      <c r="A21" s="202" t="s">
        <v>306</v>
      </c>
      <c r="B21" s="51">
        <f t="shared" si="12"/>
        <v>2650</v>
      </c>
      <c r="C21" s="52">
        <f t="shared" si="2"/>
        <v>10</v>
      </c>
      <c r="D21" s="53">
        <f t="shared" si="13"/>
        <v>3</v>
      </c>
      <c r="E21" s="53">
        <f t="shared" si="14"/>
        <v>3</v>
      </c>
      <c r="F21" s="63">
        <f>IF(ISNA(VLOOKUP($A21,'Starter 1'!$B$7:$C$31,2,FALSE)),0,VLOOKUP($A21,'Starter 1'!$B$7:$C$31,2,FALSE))</f>
        <v>20</v>
      </c>
      <c r="G21" s="53">
        <f t="shared" si="15"/>
        <v>13.66892</v>
      </c>
      <c r="H21" s="53">
        <f t="shared" si="18"/>
        <v>3</v>
      </c>
      <c r="I21" s="53">
        <f t="shared" si="16"/>
        <v>3</v>
      </c>
      <c r="J21" s="53">
        <f t="shared" si="7"/>
        <v>3</v>
      </c>
      <c r="K21" s="54">
        <f t="shared" si="17"/>
        <v>3</v>
      </c>
      <c r="L21" s="55"/>
      <c r="N21" s="56">
        <f t="shared" si="11"/>
        <v>0</v>
      </c>
      <c r="O21" s="57">
        <f t="shared" si="9"/>
        <v>0</v>
      </c>
    </row>
    <row r="22" spans="1:15" x14ac:dyDescent="0.25">
      <c r="A22" s="6" t="s">
        <v>273</v>
      </c>
      <c r="B22" s="51">
        <f t="shared" si="12"/>
        <v>132</v>
      </c>
      <c r="C22" s="52">
        <f t="shared" si="2"/>
        <v>15.5</v>
      </c>
      <c r="D22" s="53">
        <f t="shared" si="13"/>
        <v>16.5</v>
      </c>
      <c r="E22" s="53">
        <f t="shared" si="14"/>
        <v>13</v>
      </c>
      <c r="F22" s="63">
        <f>IF(ISNA(VLOOKUP($A22,'Starter 1'!$B$7:$C$31,2,FALSE)),0,VLOOKUP($A22,'Starter 1'!$B$7:$C$31,2,FALSE))</f>
        <v>9</v>
      </c>
      <c r="G22" s="53">
        <f t="shared" si="15"/>
        <v>9</v>
      </c>
      <c r="H22" s="53">
        <f t="shared" si="18"/>
        <v>11.5</v>
      </c>
      <c r="I22" s="53">
        <f t="shared" si="16"/>
        <v>10</v>
      </c>
      <c r="J22" s="53">
        <f t="shared" si="7"/>
        <v>10</v>
      </c>
      <c r="K22" s="54">
        <f t="shared" si="17"/>
        <v>9.5</v>
      </c>
      <c r="L22" s="55"/>
      <c r="N22" s="56">
        <f t="shared" si="11"/>
        <v>0</v>
      </c>
      <c r="O22" s="57">
        <f t="shared" si="9"/>
        <v>0</v>
      </c>
    </row>
    <row r="23" spans="1:15" ht="30" customHeight="1" x14ac:dyDescent="0.25">
      <c r="A23" s="45" t="s">
        <v>166</v>
      </c>
      <c r="B23" s="46"/>
      <c r="C23" s="58"/>
      <c r="D23" s="59"/>
      <c r="E23" s="59"/>
      <c r="F23" s="59"/>
      <c r="G23" s="59"/>
      <c r="H23" s="59"/>
      <c r="I23" s="59"/>
      <c r="J23" s="59"/>
      <c r="K23" s="60"/>
      <c r="L23" s="47"/>
      <c r="N23" s="61"/>
      <c r="O23" s="62" t="s">
        <v>230</v>
      </c>
    </row>
    <row r="24" spans="1:15" x14ac:dyDescent="0.25">
      <c r="A24" s="6" t="s">
        <v>274</v>
      </c>
      <c r="B24" s="51">
        <f t="shared" ref="B24:B38" si="19">IF(ISNA(VLOOKUP($A24,RMP_MFH,2,FALSE)),"N/A",VLOOKUP($A24,RMP_MFH,2,FALSE))</f>
        <v>970</v>
      </c>
      <c r="C24" s="52">
        <f t="shared" si="2"/>
        <v>9</v>
      </c>
      <c r="D24" s="63">
        <f t="shared" ref="D24:D38" si="20">IF(ISNA(VLOOKUP($A24,Gestation,2,FALSE)),0,VLOOKUP($A24,Gestation,2,FALSE))</f>
        <v>6.5</v>
      </c>
      <c r="E24" s="63">
        <f t="shared" ref="E24:E38" si="21">IF(ISNA(VLOOKUP($A24,Gilt_Dev,2,FALSE)),0,VLOOKUP($A24,Gilt_Dev,2,FALSE))</f>
        <v>5</v>
      </c>
      <c r="F24" s="63">
        <f>IF(ISNA(VLOOKUP($A24,'Starter 1'!$B$7:$C$31,2,FALSE)),0,VLOOKUP($A24,'Starter 1'!$B$7:$C$31,2,FALSE))</f>
        <v>5</v>
      </c>
      <c r="G24" s="63">
        <f t="shared" ref="G24:G38" si="22">IF(ISNA(VLOOKUP($A24,Str_2,2,FALSE)),0,VLOOKUP($A24,Str_2,2,FALSE))</f>
        <v>6.5</v>
      </c>
      <c r="H24" s="63">
        <f t="shared" ref="H24:H38" si="23">IF(ISNA(VLOOKUP($A24,Pre_Grower,2,FALSE)),0,VLOOKUP($A24,Pre_Grower,2,FALSE))</f>
        <v>6</v>
      </c>
      <c r="I24" s="63">
        <f>IF(ISNA(VLOOKUP($A24,Grower,2,FALSE)),0,VLOOKUP($A24,Grower,2,FALSE))</f>
        <v>1</v>
      </c>
      <c r="J24" s="63">
        <f t="shared" ref="J24:J38" si="24">IF(ISNA(VLOOKUP($A24,Grower2,2,FALSE)),0,VLOOKUP($A24,Grower2,2,FALSE))</f>
        <v>0</v>
      </c>
      <c r="K24" s="64">
        <f t="shared" ref="K24:K38" si="25">IF(ISNA(VLOOKUP($A24,Finisher,2,FALSE)),0,VLOOKUP($A24,Finisher,2,FALSE))</f>
        <v>0</v>
      </c>
      <c r="L24" s="55"/>
      <c r="N24" s="65" cm="1">
        <f t="array" ref="N24">SUMPRODUCT(Feed_Tonnes,C24:K24/1000)</f>
        <v>0</v>
      </c>
      <c r="O24" s="66">
        <f>N24*1000</f>
        <v>0</v>
      </c>
    </row>
    <row r="25" spans="1:15" x14ac:dyDescent="0.25">
      <c r="A25" s="6" t="s">
        <v>275</v>
      </c>
      <c r="B25" s="51">
        <f t="shared" si="19"/>
        <v>115</v>
      </c>
      <c r="C25" s="52">
        <f t="shared" si="2"/>
        <v>4.5</v>
      </c>
      <c r="D25" s="63">
        <f t="shared" si="20"/>
        <v>5</v>
      </c>
      <c r="E25" s="63">
        <f t="shared" si="21"/>
        <v>5</v>
      </c>
      <c r="F25" s="63">
        <f>IF(ISNA(VLOOKUP($A25,'Starter 1'!$B$7:$C$31,2,FALSE)),0,VLOOKUP($A25,'Starter 1'!$B$7:$C$31,2,FALSE))</f>
        <v>3.5</v>
      </c>
      <c r="G25" s="63">
        <f t="shared" si="22"/>
        <v>4.5</v>
      </c>
      <c r="H25" s="63">
        <f t="shared" si="23"/>
        <v>5</v>
      </c>
      <c r="I25" s="63">
        <f t="shared" ref="I25:I38" si="26">IF(ISNA(VLOOKUP($A25,Grower,2,FALSE)),0,VLOOKUP($A25,Grower,2,FALSE))</f>
        <v>4</v>
      </c>
      <c r="J25" s="63">
        <f t="shared" si="24"/>
        <v>4</v>
      </c>
      <c r="K25" s="64">
        <f t="shared" si="25"/>
        <v>4.5</v>
      </c>
      <c r="L25" s="55"/>
      <c r="N25" s="65">
        <f t="shared" ref="N25:N38" si="27">SUMPRODUCT(Feed_Tonnes,C25:K25/1000)</f>
        <v>0</v>
      </c>
      <c r="O25" s="66">
        <f t="shared" ref="O25:O34" si="28">N25*1000</f>
        <v>0</v>
      </c>
    </row>
    <row r="26" spans="1:15" x14ac:dyDescent="0.25">
      <c r="A26" s="6" t="s">
        <v>277</v>
      </c>
      <c r="B26" s="51">
        <f t="shared" si="19"/>
        <v>2610</v>
      </c>
      <c r="C26" s="52">
        <f t="shared" si="2"/>
        <v>4.6593</v>
      </c>
      <c r="D26" s="63">
        <f t="shared" si="20"/>
        <v>2.8492600000000001</v>
      </c>
      <c r="E26" s="63">
        <f t="shared" si="21"/>
        <v>3.7242999999999999</v>
      </c>
      <c r="F26" s="63">
        <f>IF(ISNA(VLOOKUP($A26,'Starter 1'!$B$7:$C$31,2,FALSE)),0,VLOOKUP($A26,'Starter 1'!$B$7:$C$31,2,FALSE))</f>
        <v>5.3882300000000001</v>
      </c>
      <c r="G26" s="63">
        <f t="shared" si="22"/>
        <v>6.4999200000000004</v>
      </c>
      <c r="H26" s="63">
        <f t="shared" si="23"/>
        <v>7</v>
      </c>
      <c r="I26" s="63">
        <f t="shared" si="26"/>
        <v>5</v>
      </c>
      <c r="J26" s="63">
        <f t="shared" si="24"/>
        <v>4.2</v>
      </c>
      <c r="K26" s="64">
        <f t="shared" si="25"/>
        <v>3.8138300000000003</v>
      </c>
      <c r="L26" s="55"/>
      <c r="N26" s="65">
        <f t="shared" si="27"/>
        <v>0</v>
      </c>
      <c r="O26" s="66">
        <f t="shared" si="28"/>
        <v>0</v>
      </c>
    </row>
    <row r="27" spans="1:15" x14ac:dyDescent="0.25">
      <c r="A27" s="50" t="s">
        <v>13</v>
      </c>
      <c r="B27" s="51">
        <f t="shared" si="19"/>
        <v>4495</v>
      </c>
      <c r="C27" s="52">
        <f t="shared" si="2"/>
        <v>0</v>
      </c>
      <c r="D27" s="63">
        <f t="shared" si="20"/>
        <v>0</v>
      </c>
      <c r="E27" s="63">
        <f t="shared" si="21"/>
        <v>0</v>
      </c>
      <c r="F27" s="63">
        <f>IF(ISNA(VLOOKUP($A27,'Starter 1'!$B$7:$C$31,2,FALSE)),0,VLOOKUP($A27,'Starter 1'!$B$7:$C$31,2,FALSE))</f>
        <v>1.7999999999999998</v>
      </c>
      <c r="G27" s="63">
        <f t="shared" si="22"/>
        <v>1.3</v>
      </c>
      <c r="H27" s="63">
        <f t="shared" si="23"/>
        <v>1.35</v>
      </c>
      <c r="I27" s="63">
        <f t="shared" si="26"/>
        <v>0</v>
      </c>
      <c r="J27" s="63">
        <f t="shared" si="24"/>
        <v>0</v>
      </c>
      <c r="K27" s="64">
        <f t="shared" si="25"/>
        <v>0</v>
      </c>
      <c r="L27" s="55"/>
      <c r="N27" s="65">
        <f t="shared" si="27"/>
        <v>0</v>
      </c>
      <c r="O27" s="66">
        <f t="shared" si="28"/>
        <v>0</v>
      </c>
    </row>
    <row r="28" spans="1:15" x14ac:dyDescent="0.25">
      <c r="A28" s="50" t="s">
        <v>11</v>
      </c>
      <c r="B28" s="51">
        <f t="shared" si="19"/>
        <v>4000</v>
      </c>
      <c r="C28" s="52">
        <f t="shared" si="2"/>
        <v>0.70000000000000007</v>
      </c>
      <c r="D28" s="63">
        <f t="shared" si="20"/>
        <v>0.6</v>
      </c>
      <c r="E28" s="63">
        <f t="shared" si="21"/>
        <v>0.2</v>
      </c>
      <c r="F28" s="63">
        <f>IF(ISNA(VLOOKUP($A28,'Starter 1'!$B$7:$C$31,2,FALSE)),0,VLOOKUP($A28,'Starter 1'!$B$7:$C$31,2,FALSE))</f>
        <v>1.6</v>
      </c>
      <c r="G28" s="63">
        <f t="shared" si="22"/>
        <v>1.6</v>
      </c>
      <c r="H28" s="63">
        <f t="shared" si="23"/>
        <v>1.3</v>
      </c>
      <c r="I28" s="63">
        <f t="shared" si="26"/>
        <v>0.4</v>
      </c>
      <c r="J28" s="63">
        <f t="shared" si="24"/>
        <v>0</v>
      </c>
      <c r="K28" s="64">
        <f t="shared" si="25"/>
        <v>0</v>
      </c>
      <c r="L28" s="55"/>
      <c r="N28" s="65">
        <f t="shared" si="27"/>
        <v>0</v>
      </c>
      <c r="O28" s="66">
        <f t="shared" si="28"/>
        <v>0</v>
      </c>
    </row>
    <row r="29" spans="1:15" x14ac:dyDescent="0.25">
      <c r="A29" s="50" t="s">
        <v>14</v>
      </c>
      <c r="B29" s="51">
        <f t="shared" si="19"/>
        <v>13250</v>
      </c>
      <c r="C29" s="52">
        <f t="shared" si="2"/>
        <v>0</v>
      </c>
      <c r="D29" s="63">
        <f t="shared" si="20"/>
        <v>0</v>
      </c>
      <c r="E29" s="63">
        <f t="shared" si="21"/>
        <v>0</v>
      </c>
      <c r="F29" s="63">
        <f>IF(ISNA(VLOOKUP($A29,'Starter 1'!$B$7:$C$31,2,FALSE)),0,VLOOKUP($A29,'Starter 1'!$B$7:$C$31,2,FALSE))</f>
        <v>0.25</v>
      </c>
      <c r="G29" s="63">
        <f t="shared" si="22"/>
        <v>0.35000000000000003</v>
      </c>
      <c r="H29" s="63">
        <f t="shared" si="23"/>
        <v>0.35000000000000003</v>
      </c>
      <c r="I29" s="63">
        <f t="shared" si="26"/>
        <v>0.15</v>
      </c>
      <c r="J29" s="63">
        <f t="shared" si="24"/>
        <v>0.1</v>
      </c>
      <c r="K29" s="64">
        <f t="shared" si="25"/>
        <v>0.1</v>
      </c>
      <c r="L29" s="55"/>
      <c r="N29" s="65">
        <f t="shared" si="27"/>
        <v>0</v>
      </c>
      <c r="O29" s="66">
        <f t="shared" si="28"/>
        <v>0</v>
      </c>
    </row>
    <row r="30" spans="1:15" x14ac:dyDescent="0.25">
      <c r="A30" s="50" t="s">
        <v>116</v>
      </c>
      <c r="B30" s="51">
        <f t="shared" si="19"/>
        <v>4225</v>
      </c>
      <c r="C30" s="52">
        <f t="shared" si="2"/>
        <v>0</v>
      </c>
      <c r="D30" s="63">
        <f t="shared" si="20"/>
        <v>0</v>
      </c>
      <c r="E30" s="63">
        <f t="shared" si="21"/>
        <v>0.4</v>
      </c>
      <c r="F30" s="63">
        <f>IF(ISNA(VLOOKUP($A30,'Starter 1'!$B$7:$C$31,2,FALSE)),0,VLOOKUP($A30,'Starter 1'!$B$7:$C$31,2,FALSE))</f>
        <v>0.4</v>
      </c>
      <c r="G30" s="63">
        <f t="shared" si="22"/>
        <v>0.4</v>
      </c>
      <c r="H30" s="63">
        <f t="shared" si="23"/>
        <v>0.4</v>
      </c>
      <c r="I30" s="63">
        <f t="shared" si="26"/>
        <v>0.4</v>
      </c>
      <c r="J30" s="63">
        <f t="shared" si="24"/>
        <v>0.4</v>
      </c>
      <c r="K30" s="64">
        <f t="shared" si="25"/>
        <v>0</v>
      </c>
      <c r="L30" s="55"/>
      <c r="N30" s="65">
        <f t="shared" si="27"/>
        <v>0</v>
      </c>
      <c r="O30" s="66">
        <f t="shared" si="28"/>
        <v>0</v>
      </c>
    </row>
    <row r="31" spans="1:15" x14ac:dyDescent="0.25">
      <c r="A31" s="50" t="s">
        <v>117</v>
      </c>
      <c r="B31" s="51">
        <f t="shared" si="19"/>
        <v>3270</v>
      </c>
      <c r="C31" s="52">
        <f t="shared" si="2"/>
        <v>0</v>
      </c>
      <c r="D31" s="63">
        <f t="shared" si="20"/>
        <v>0</v>
      </c>
      <c r="E31" s="63">
        <f t="shared" si="21"/>
        <v>0</v>
      </c>
      <c r="F31" s="63">
        <f>IF(ISNA(VLOOKUP($A31,'Starter 1'!$B$7:$C$31,2,FALSE)),0,VLOOKUP($A31,'Starter 1'!$B$7:$C$31,2,FALSE))</f>
        <v>3</v>
      </c>
      <c r="G31" s="63">
        <f t="shared" si="22"/>
        <v>3</v>
      </c>
      <c r="H31" s="63">
        <f t="shared" si="23"/>
        <v>0</v>
      </c>
      <c r="I31" s="63">
        <f t="shared" si="26"/>
        <v>0</v>
      </c>
      <c r="J31" s="63">
        <f t="shared" si="24"/>
        <v>0</v>
      </c>
      <c r="K31" s="64">
        <f t="shared" si="25"/>
        <v>0</v>
      </c>
      <c r="L31" s="55"/>
      <c r="N31" s="65">
        <f t="shared" si="27"/>
        <v>0</v>
      </c>
      <c r="O31" s="66">
        <f t="shared" si="28"/>
        <v>0</v>
      </c>
    </row>
    <row r="32" spans="1:15" x14ac:dyDescent="0.25">
      <c r="A32" s="50" t="s">
        <v>12</v>
      </c>
      <c r="B32" s="51">
        <f t="shared" si="19"/>
        <v>3850</v>
      </c>
      <c r="C32" s="52">
        <f t="shared" si="2"/>
        <v>1</v>
      </c>
      <c r="D32" s="63">
        <f t="shared" si="20"/>
        <v>1</v>
      </c>
      <c r="E32" s="63">
        <f t="shared" si="21"/>
        <v>0.5</v>
      </c>
      <c r="F32" s="63">
        <f>IF(ISNA(VLOOKUP($A32,'Starter 1'!$B$7:$C$31,2,FALSE)),0,VLOOKUP($A32,'Starter 1'!$B$7:$C$31,2,FALSE))</f>
        <v>0.8</v>
      </c>
      <c r="G32" s="63">
        <f t="shared" si="22"/>
        <v>0.8</v>
      </c>
      <c r="H32" s="63">
        <f t="shared" si="23"/>
        <v>0</v>
      </c>
      <c r="I32" s="63">
        <f t="shared" si="26"/>
        <v>0</v>
      </c>
      <c r="J32" s="63">
        <f t="shared" si="24"/>
        <v>0</v>
      </c>
      <c r="K32" s="64">
        <f t="shared" si="25"/>
        <v>0</v>
      </c>
      <c r="L32" s="55"/>
      <c r="N32" s="65">
        <f t="shared" si="27"/>
        <v>0</v>
      </c>
      <c r="O32" s="66">
        <f t="shared" si="28"/>
        <v>0</v>
      </c>
    </row>
    <row r="33" spans="1:15" x14ac:dyDescent="0.25">
      <c r="A33" s="6" t="s">
        <v>280</v>
      </c>
      <c r="B33" s="51">
        <f t="shared" si="19"/>
        <v>3300</v>
      </c>
      <c r="C33" s="52">
        <f t="shared" si="2"/>
        <v>0</v>
      </c>
      <c r="D33" s="63">
        <f t="shared" si="20"/>
        <v>0</v>
      </c>
      <c r="E33" s="63">
        <f t="shared" si="21"/>
        <v>0</v>
      </c>
      <c r="F33" s="63">
        <f>IF(ISNA(VLOOKUP($A33,'Starter 1'!$B$7:$C$31,2,FALSE)),0,VLOOKUP($A33,'Starter 1'!$B$7:$C$31,2,FALSE))</f>
        <v>5</v>
      </c>
      <c r="G33" s="63">
        <f t="shared" si="22"/>
        <v>2.5</v>
      </c>
      <c r="H33" s="63">
        <f t="shared" si="23"/>
        <v>0</v>
      </c>
      <c r="I33" s="63">
        <f t="shared" si="26"/>
        <v>0</v>
      </c>
      <c r="J33" s="63">
        <f t="shared" si="24"/>
        <v>0</v>
      </c>
      <c r="K33" s="64">
        <f t="shared" si="25"/>
        <v>0</v>
      </c>
      <c r="L33" s="55"/>
      <c r="N33" s="65">
        <f t="shared" si="27"/>
        <v>0</v>
      </c>
      <c r="O33" s="66">
        <f>N33*1000</f>
        <v>0</v>
      </c>
    </row>
    <row r="34" spans="1:15" x14ac:dyDescent="0.25">
      <c r="A34" s="6" t="s">
        <v>258</v>
      </c>
      <c r="B34" s="51">
        <f>IF(ISNA(VLOOKUP($A34,RMP_MFH,2,FALSE)),"N/A",VLOOKUP($A34,RMP_MFH,2,FALSE))</f>
        <v>10480</v>
      </c>
      <c r="C34" s="52">
        <f>IF(ISNA(VLOOKUP($A34,Lactation,2,FALSE)),0,VLOOKUP($A34,Lactation,2,FALSE))</f>
        <v>0</v>
      </c>
      <c r="D34" s="63">
        <f t="shared" si="20"/>
        <v>0</v>
      </c>
      <c r="E34" s="63">
        <f t="shared" si="21"/>
        <v>0</v>
      </c>
      <c r="F34" s="63">
        <f>IF(ISNA(VLOOKUP($A34,'Starter 1'!$B$7:$C$31,2,FALSE)),0,VLOOKUP($A34,'Starter 1'!$B$7:$C$31,2,FALSE))</f>
        <v>1</v>
      </c>
      <c r="G34" s="63">
        <f t="shared" si="22"/>
        <v>0.5</v>
      </c>
      <c r="H34" s="63">
        <f t="shared" si="23"/>
        <v>0</v>
      </c>
      <c r="I34" s="63">
        <f t="shared" si="26"/>
        <v>0</v>
      </c>
      <c r="J34" s="63">
        <f t="shared" si="24"/>
        <v>0</v>
      </c>
      <c r="K34" s="64">
        <f t="shared" si="25"/>
        <v>0</v>
      </c>
      <c r="L34" s="55"/>
      <c r="N34" s="65">
        <f t="shared" si="27"/>
        <v>0</v>
      </c>
      <c r="O34" s="66">
        <f t="shared" si="28"/>
        <v>0</v>
      </c>
    </row>
    <row r="35" spans="1:15" x14ac:dyDescent="0.25">
      <c r="A35" s="50" t="s">
        <v>279</v>
      </c>
      <c r="B35" s="51">
        <f>IF(ISNA(VLOOKUP($A35,RMP_MFH,2,FALSE)),"N/A",VLOOKUP($A35,RMP_MFH,2,FALSE))</f>
        <v>3000</v>
      </c>
      <c r="C35" s="52">
        <f t="shared" si="2"/>
        <v>0</v>
      </c>
      <c r="D35" s="63">
        <f>IF(ISNA(VLOOKUP($A35,Gestation,2,FALSE)),0,VLOOKUP($A35,Gestation,2,FALSE))</f>
        <v>0</v>
      </c>
      <c r="E35" s="63">
        <f>IF(ISNA(VLOOKUP($A35,Gilt_Dev,2,FALSE)),0,VLOOKUP($A35,Gilt_Dev,2,FALSE))</f>
        <v>0</v>
      </c>
      <c r="F35" s="63">
        <f>IF(ISNA(VLOOKUP($A35,'Starter 1'!$B$7:$C$31,2,FALSE)),0,VLOOKUP($A35,'Starter 1'!$B$7:$C$31,2,FALSE))</f>
        <v>0.3</v>
      </c>
      <c r="G35" s="63">
        <f>IF(ISNA(VLOOKUP($A35,Str_2,2,FALSE)),0,VLOOKUP($A35,Str_2,2,FALSE))</f>
        <v>0.3</v>
      </c>
      <c r="H35" s="63">
        <f>IF(ISNA(VLOOKUP($A35,Pre_Grower,2,FALSE)),0,VLOOKUP($A35,Pre_Grower,2,FALSE))</f>
        <v>0.3</v>
      </c>
      <c r="I35" s="63">
        <f>IF(ISNA(VLOOKUP($A35,Grower,2,FALSE)),0,VLOOKUP($A35,Grower,2,FALSE))</f>
        <v>0</v>
      </c>
      <c r="J35" s="63">
        <f>IF(ISNA(VLOOKUP($A35,Grower2,2,FALSE)),0,VLOOKUP($A35,Grower2,2,FALSE))</f>
        <v>0</v>
      </c>
      <c r="K35" s="64">
        <f>IF(ISNA(VLOOKUP($A35,Finisher,2,FALSE)),0,VLOOKUP($A35,Finisher,2,FALSE))</f>
        <v>0</v>
      </c>
      <c r="L35" s="55"/>
      <c r="N35" s="65">
        <f>SUMPRODUCT(Feed_Tonnes,C35:K35/1000)</f>
        <v>0</v>
      </c>
      <c r="O35" s="66">
        <f>N35*1000</f>
        <v>0</v>
      </c>
    </row>
    <row r="36" spans="1:15" x14ac:dyDescent="0.25">
      <c r="A36" s="6" t="s">
        <v>283</v>
      </c>
      <c r="B36" s="51">
        <f t="shared" si="19"/>
        <v>8350</v>
      </c>
      <c r="C36" s="52">
        <f t="shared" si="2"/>
        <v>0</v>
      </c>
      <c r="D36" s="63">
        <f t="shared" si="20"/>
        <v>0</v>
      </c>
      <c r="E36" s="63">
        <f t="shared" si="21"/>
        <v>0</v>
      </c>
      <c r="F36" s="63">
        <f>IF(ISNA(VLOOKUP($A36,'Starter 1'!$B$7:$C$31,2,FALSE)),0,VLOOKUP($A36,'Starter 1'!$B$7:$C$31,2,FALSE))</f>
        <v>2</v>
      </c>
      <c r="G36" s="63">
        <f t="shared" si="22"/>
        <v>2</v>
      </c>
      <c r="H36" s="63">
        <f t="shared" si="23"/>
        <v>2</v>
      </c>
      <c r="I36" s="63">
        <f t="shared" si="26"/>
        <v>0</v>
      </c>
      <c r="J36" s="63">
        <f t="shared" si="24"/>
        <v>0</v>
      </c>
      <c r="K36" s="64">
        <f t="shared" si="25"/>
        <v>0</v>
      </c>
      <c r="L36" s="55"/>
      <c r="N36" s="65">
        <f t="shared" si="27"/>
        <v>0</v>
      </c>
      <c r="O36" s="66">
        <f>N36*1000</f>
        <v>0</v>
      </c>
    </row>
    <row r="37" spans="1:15" x14ac:dyDescent="0.25">
      <c r="A37" s="6" t="s">
        <v>282</v>
      </c>
      <c r="B37" s="51">
        <f t="shared" si="19"/>
        <v>7800</v>
      </c>
      <c r="C37" s="52">
        <f t="shared" si="2"/>
        <v>1.5</v>
      </c>
      <c r="D37" s="63">
        <f t="shared" si="20"/>
        <v>1.5</v>
      </c>
      <c r="E37" s="63">
        <f t="shared" si="21"/>
        <v>1.5</v>
      </c>
      <c r="F37" s="63">
        <f>IF(ISNA(VLOOKUP($A37,'Starter 1'!$B$7:$C$31,2,FALSE)),0,VLOOKUP($A37,'Starter 1'!$B$7:$C$31,2,FALSE))</f>
        <v>0</v>
      </c>
      <c r="G37" s="63">
        <f t="shared" si="22"/>
        <v>0</v>
      </c>
      <c r="H37" s="63">
        <f t="shared" si="23"/>
        <v>0</v>
      </c>
      <c r="I37" s="63">
        <f t="shared" si="26"/>
        <v>0</v>
      </c>
      <c r="J37" s="63">
        <f t="shared" si="24"/>
        <v>0</v>
      </c>
      <c r="K37" s="64">
        <f t="shared" si="25"/>
        <v>0</v>
      </c>
      <c r="L37" s="55"/>
      <c r="N37" s="65">
        <f t="shared" si="27"/>
        <v>0</v>
      </c>
      <c r="O37" s="66">
        <f>N37*1000</f>
        <v>0</v>
      </c>
    </row>
    <row r="38" spans="1:15" x14ac:dyDescent="0.25">
      <c r="A38" s="6" t="s">
        <v>281</v>
      </c>
      <c r="B38" s="51">
        <f t="shared" si="19"/>
        <v>8400</v>
      </c>
      <c r="C38" s="52">
        <f t="shared" si="2"/>
        <v>0</v>
      </c>
      <c r="D38" s="63">
        <f t="shared" si="20"/>
        <v>0</v>
      </c>
      <c r="E38" s="63">
        <f t="shared" si="21"/>
        <v>0</v>
      </c>
      <c r="F38" s="63">
        <f>IF(ISNA(VLOOKUP($A38,'Starter 1'!$B$7:$C$31,2,FALSE)),0,VLOOKUP($A38,'Starter 1'!$B$7:$C$31,2,FALSE))</f>
        <v>0</v>
      </c>
      <c r="G38" s="63">
        <f t="shared" si="22"/>
        <v>0</v>
      </c>
      <c r="H38" s="63">
        <f t="shared" si="23"/>
        <v>0</v>
      </c>
      <c r="I38" s="63">
        <f t="shared" si="26"/>
        <v>1</v>
      </c>
      <c r="J38" s="63">
        <f t="shared" si="24"/>
        <v>1</v>
      </c>
      <c r="K38" s="64">
        <f t="shared" si="25"/>
        <v>1</v>
      </c>
      <c r="L38" s="55"/>
      <c r="N38" s="65">
        <f t="shared" si="27"/>
        <v>0</v>
      </c>
      <c r="O38" s="66">
        <f>N38*1000</f>
        <v>0</v>
      </c>
    </row>
    <row r="39" spans="1:15" ht="16.5" thickBot="1" x14ac:dyDescent="0.3">
      <c r="A39" s="67"/>
      <c r="B39" s="68"/>
      <c r="C39" s="69"/>
      <c r="D39" s="70"/>
      <c r="E39" s="70"/>
      <c r="F39" s="70"/>
      <c r="G39" s="70"/>
      <c r="H39" s="70"/>
      <c r="I39" s="70"/>
      <c r="J39" s="70"/>
      <c r="K39" s="71"/>
      <c r="L39" s="55"/>
      <c r="N39" s="72"/>
      <c r="O39" s="73"/>
    </row>
    <row r="40" spans="1:15" ht="18" x14ac:dyDescent="0.25">
      <c r="A40" s="74" t="s">
        <v>167</v>
      </c>
      <c r="B40" s="75" t="s">
        <v>169</v>
      </c>
      <c r="C40" s="76">
        <f t="shared" ref="C40:K40" si="29">SUM(C9:C38)</f>
        <v>1000</v>
      </c>
      <c r="D40" s="77">
        <f t="shared" si="29"/>
        <v>999.99999999999989</v>
      </c>
      <c r="E40" s="77">
        <f t="shared" si="29"/>
        <v>1000</v>
      </c>
      <c r="F40" s="218">
        <f t="shared" si="29"/>
        <v>999.99999999999989</v>
      </c>
      <c r="G40" s="77">
        <f t="shared" si="29"/>
        <v>1000.0000099999997</v>
      </c>
      <c r="H40" s="77">
        <f t="shared" si="29"/>
        <v>999.99999999999989</v>
      </c>
      <c r="I40" s="77">
        <f t="shared" si="29"/>
        <v>999.99999999999989</v>
      </c>
      <c r="J40" s="77">
        <f t="shared" si="29"/>
        <v>1000</v>
      </c>
      <c r="K40" s="78">
        <f t="shared" si="29"/>
        <v>1000.0000000000001</v>
      </c>
      <c r="L40" s="55"/>
      <c r="N40" s="197">
        <f>SUM(N9:N38)</f>
        <v>0</v>
      </c>
      <c r="O40" s="79"/>
    </row>
    <row r="41" spans="1:15" ht="16.5" thickBot="1" x14ac:dyDescent="0.3">
      <c r="A41" s="80" t="s">
        <v>168</v>
      </c>
      <c r="B41" s="81" t="s">
        <v>170</v>
      </c>
      <c r="C41" s="82" cm="1">
        <f t="array" ref="C41">SUMPRODUCT(RMP_IU,C9:C38/1000)+(SUMPRODUCT(RMP_IU,C9:C38/1000)*Shrink)+Margin_Pellet+Freight</f>
        <v>524.4811158</v>
      </c>
      <c r="D41" s="83">
        <f>SUMPRODUCT(RMP_IU,D9:D38/1000)+(SUMPRODUCT(RMP_IU,D9:D38/1000)*Shrink)+Margin_Pellet+Freight</f>
        <v>471.01706755999999</v>
      </c>
      <c r="E41" s="83">
        <f>SUMPRODUCT(RMP_IU,E9:E38/1000)+(SUMPRODUCT(RMP_IU,E9:E38/1000)*Shrink)+Margin_Pellet+Freight</f>
        <v>481.27940580000001</v>
      </c>
      <c r="F41" s="219" cm="1">
        <f t="array" ref="F41">SUMPRODUCT(RMP_IU,F9:F38/1000)+(SUMPRODUCT(RMP_IU,F9:F38/1000)*Shrink)+Margin_Pellet+Freight</f>
        <v>937.10538866000002</v>
      </c>
      <c r="G41" s="83" cm="1">
        <f t="array" ref="G41">SUMPRODUCT(RMP_IU,G9:G38/1000)+(SUMPRODUCT(RMP_IU,G9:G38/1000)*Shrink)+Margin_Crumbles+Freight</f>
        <v>741.16691676000005</v>
      </c>
      <c r="H41" s="83">
        <f>SUMPRODUCT(RMP_IU,H9:H38/1000)+(SUMPRODUCT(RMP_IU,H9:H38/1000)*Shrink)+Margin_Pellet+Freight</f>
        <v>551.96994999999981</v>
      </c>
      <c r="I41" s="83">
        <f>SUMPRODUCT(RMP_IU,I9:I38/1000)+(SUMPRODUCT(RMP_IU,I9:I38/1000)*Shrink)+Margin_Pellet+Freight</f>
        <v>499.7987</v>
      </c>
      <c r="J41" s="83" cm="1">
        <f t="array" ref="J41">SUMPRODUCT(RMP_IU,J9:J38/1000)+(SUMPRODUCT(RMP_IU,J9:J38/1000)*Shrink)+Margin_Pellet+Freight</f>
        <v>478.9421999999999</v>
      </c>
      <c r="K41" s="84">
        <f>SUMPRODUCT(RMP_IU,K9:K38/1000)+(SUMPRODUCT(RMP_IU,K9:K38/1000)*Shrink)+Margin_Pellet+Freight</f>
        <v>468.04740898</v>
      </c>
      <c r="L41" s="85"/>
      <c r="N41" s="86"/>
      <c r="O41" s="87"/>
    </row>
    <row r="42" spans="1:15" ht="16.5" thickBot="1" x14ac:dyDescent="0.3"/>
    <row r="43" spans="1:15" ht="16.5" thickBot="1" x14ac:dyDescent="0.3">
      <c r="A43" s="74" t="s">
        <v>171</v>
      </c>
      <c r="B43" s="75" t="s">
        <v>174</v>
      </c>
      <c r="C43" s="89">
        <f>'F C M'!H11</f>
        <v>13</v>
      </c>
      <c r="D43" s="90">
        <f>'F C M'!H12</f>
        <v>24</v>
      </c>
      <c r="E43" s="90">
        <f>'F C M'!H13</f>
        <v>3</v>
      </c>
      <c r="F43" s="220">
        <f>'F C M'!H15</f>
        <v>1.5</v>
      </c>
      <c r="G43" s="90">
        <f>'F C M'!H16</f>
        <v>5</v>
      </c>
      <c r="H43" s="90">
        <f>'F C M'!H17</f>
        <v>22.099999999999998</v>
      </c>
      <c r="I43" s="90">
        <f>'F C M'!H19</f>
        <v>78.429999999999993</v>
      </c>
      <c r="J43" s="90">
        <f>'F C M'!H20</f>
        <v>99.221759999999989</v>
      </c>
      <c r="K43" s="90">
        <f>'F C M'!H21</f>
        <v>120.80016000000002</v>
      </c>
      <c r="L43" s="91">
        <f>SUM(C43:E43,F43:K43)</f>
        <v>367.05192</v>
      </c>
    </row>
    <row r="44" spans="1:15" ht="16.5" thickBot="1" x14ac:dyDescent="0.3">
      <c r="A44" s="92" t="s">
        <v>172</v>
      </c>
      <c r="B44" s="39" t="s">
        <v>175</v>
      </c>
      <c r="C44" s="93">
        <f>Pigs_Mktd*C43/1000</f>
        <v>0</v>
      </c>
      <c r="D44" s="94">
        <f t="shared" ref="D44:I44" si="30">Pigs_Mktd*D43/1000</f>
        <v>0</v>
      </c>
      <c r="E44" s="94">
        <f>Pigs_Mktd*E43/1000</f>
        <v>0</v>
      </c>
      <c r="F44" s="221">
        <f>Pigs_Mktd*F43/1000</f>
        <v>0</v>
      </c>
      <c r="G44" s="94">
        <f t="shared" si="30"/>
        <v>0</v>
      </c>
      <c r="H44" s="94">
        <f t="shared" si="30"/>
        <v>0</v>
      </c>
      <c r="I44" s="94">
        <f t="shared" si="30"/>
        <v>0</v>
      </c>
      <c r="J44" s="94">
        <f>Pigs_Mktd*J43/1000</f>
        <v>0</v>
      </c>
      <c r="K44" s="94">
        <f>Pigs_Mktd*K43/1000</f>
        <v>0</v>
      </c>
      <c r="L44" s="95">
        <f>SUM(C44:K44)</f>
        <v>0</v>
      </c>
    </row>
    <row r="45" spans="1:15" ht="16.5" thickBot="1" x14ac:dyDescent="0.3">
      <c r="A45" s="80" t="s">
        <v>173</v>
      </c>
      <c r="B45" s="81" t="s">
        <v>176</v>
      </c>
      <c r="C45" s="96">
        <f>C43*C41/1000</f>
        <v>6.8182545054000006</v>
      </c>
      <c r="D45" s="97">
        <f t="shared" ref="D45:K45" si="31">D43*D41/1000</f>
        <v>11.30440962144</v>
      </c>
      <c r="E45" s="97">
        <f>E43*E41/1000</f>
        <v>1.4438382174000002</v>
      </c>
      <c r="F45" s="222">
        <f>F43*F41/1000</f>
        <v>1.4056580829899998</v>
      </c>
      <c r="G45" s="97">
        <f t="shared" si="31"/>
        <v>3.7058345838000006</v>
      </c>
      <c r="H45" s="97">
        <f t="shared" si="31"/>
        <v>12.198535894999996</v>
      </c>
      <c r="I45" s="97">
        <f t="shared" si="31"/>
        <v>39.199212040999996</v>
      </c>
      <c r="J45" s="97">
        <f>J43*J41/1000</f>
        <v>47.521488022271988</v>
      </c>
      <c r="K45" s="97">
        <f t="shared" si="31"/>
        <v>56.540201892369446</v>
      </c>
      <c r="L45" s="98">
        <f>SUM(C45:K45)</f>
        <v>180.13743286167144</v>
      </c>
    </row>
  </sheetData>
  <sheetProtection algorithmName="SHA-512" hashValue="f2X3zNna6s/suWEtfBWj/OH18ccJKMpRD6vw2tch55Jdo0KfrtObaNIJNm3XQsJ47cBeRLcmjCYPmGsJtepZFQ==" saltValue="zcXssypYggm4uTjb1VJ31Q==" spinCount="100000" sheet="1" objects="1" scenarios="1"/>
  <mergeCells count="8">
    <mergeCell ref="O5:O6"/>
    <mergeCell ref="C8:K8"/>
    <mergeCell ref="A1:B1"/>
    <mergeCell ref="A5:A7"/>
    <mergeCell ref="B5:B7"/>
    <mergeCell ref="C5:K5"/>
    <mergeCell ref="L5:L6"/>
    <mergeCell ref="N5:N6"/>
  </mergeCells>
  <printOptions horizontalCentered="1"/>
  <pageMargins left="0.39370078740157483" right="0.39370078740157483" top="0.98425196850393704" bottom="0.39370078740157483" header="0.31496062992125984" footer="0.31496062992125984"/>
  <pageSetup scale="61" orientation="landscape" horizontalDpi="0"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49"/>
  <sheetViews>
    <sheetView tabSelected="1" zoomScaleNormal="100" workbookViewId="0">
      <pane xSplit="1" ySplit="9" topLeftCell="B10" activePane="bottomRight" state="frozen"/>
      <selection pane="topRight" activeCell="B1" sqref="B1"/>
      <selection pane="bottomLeft" activeCell="A10" sqref="A10"/>
      <selection pane="bottomRight" activeCell="M1" sqref="M1"/>
    </sheetView>
  </sheetViews>
  <sheetFormatPr defaultRowHeight="15.75" x14ac:dyDescent="0.25"/>
  <cols>
    <col min="1" max="1" width="22.77734375" style="101" customWidth="1"/>
    <col min="2" max="3" width="11.77734375" style="121" customWidth="1"/>
    <col min="4" max="4" width="13" style="122" bestFit="1" customWidth="1"/>
    <col min="5" max="6" width="10.77734375" style="123" customWidth="1"/>
    <col min="7" max="7" width="11.77734375" style="124" customWidth="1"/>
    <col min="8" max="8" width="14.33203125" style="121" customWidth="1"/>
    <col min="9" max="9" width="10.77734375" style="100" customWidth="1"/>
    <col min="10" max="10" width="10.77734375" style="100" hidden="1" customWidth="1"/>
    <col min="11" max="11" width="11.33203125" style="100" customWidth="1"/>
    <col min="12" max="12" width="10.77734375" style="100" customWidth="1"/>
    <col min="13" max="13" width="12.77734375" style="100" customWidth="1"/>
    <col min="14" max="16384" width="8.88671875" style="100"/>
  </cols>
  <sheetData>
    <row r="1" spans="1:13" ht="19.5" thickTop="1" thickBot="1" x14ac:dyDescent="0.3">
      <c r="A1" s="99" t="s">
        <v>120</v>
      </c>
      <c r="B1" s="100"/>
      <c r="C1" s="100"/>
      <c r="D1" s="100"/>
      <c r="E1" s="100"/>
      <c r="F1" s="100"/>
      <c r="G1" s="100"/>
      <c r="H1" s="100"/>
      <c r="M1" s="271">
        <v>44551</v>
      </c>
    </row>
    <row r="2" spans="1:13" ht="17.25" thickTop="1" thickBot="1" x14ac:dyDescent="0.3">
      <c r="B2" s="100"/>
      <c r="C2" s="100"/>
      <c r="D2" s="100"/>
      <c r="E2" s="100"/>
      <c r="F2" s="100"/>
      <c r="G2" s="100"/>
      <c r="H2" s="100"/>
    </row>
    <row r="3" spans="1:13" x14ac:dyDescent="0.25">
      <c r="A3" s="102" t="s">
        <v>129</v>
      </c>
      <c r="B3" s="188" t="s">
        <v>293</v>
      </c>
      <c r="C3" s="103" t="s">
        <v>135</v>
      </c>
      <c r="D3" s="100"/>
      <c r="E3" s="100"/>
      <c r="F3" s="100"/>
      <c r="G3" s="100"/>
      <c r="H3" s="100"/>
    </row>
    <row r="4" spans="1:13" hidden="1" x14ac:dyDescent="0.25">
      <c r="A4" s="204" t="s">
        <v>231</v>
      </c>
      <c r="B4" s="298">
        <v>0</v>
      </c>
      <c r="C4" s="299"/>
      <c r="D4" s="100"/>
      <c r="E4" s="100"/>
      <c r="F4" s="100"/>
      <c r="G4" s="100"/>
      <c r="H4" s="100"/>
    </row>
    <row r="5" spans="1:13" x14ac:dyDescent="0.25">
      <c r="A5" s="244" t="s">
        <v>310</v>
      </c>
      <c r="B5" s="104">
        <v>50</v>
      </c>
      <c r="C5" s="105">
        <v>18</v>
      </c>
      <c r="D5" s="100"/>
      <c r="E5" s="100"/>
      <c r="F5" s="100"/>
      <c r="G5" s="100"/>
      <c r="H5" s="100"/>
    </row>
    <row r="6" spans="1:13" ht="16.5" thickBot="1" x14ac:dyDescent="0.3">
      <c r="A6" s="205" t="s">
        <v>232</v>
      </c>
      <c r="B6" s="307">
        <v>8</v>
      </c>
      <c r="C6" s="308"/>
      <c r="D6" s="100"/>
      <c r="E6" s="100"/>
      <c r="F6" s="100"/>
      <c r="G6" s="100"/>
      <c r="H6" s="100"/>
    </row>
    <row r="7" spans="1:13" ht="16.5" thickBot="1" x14ac:dyDescent="0.3">
      <c r="B7" s="100"/>
      <c r="C7" s="100"/>
      <c r="D7" s="100"/>
      <c r="E7" s="100"/>
      <c r="F7" s="100"/>
      <c r="G7" s="100"/>
      <c r="H7" s="100"/>
    </row>
    <row r="8" spans="1:13" x14ac:dyDescent="0.25">
      <c r="A8" s="286" t="s">
        <v>121</v>
      </c>
      <c r="B8" s="292" t="s">
        <v>241</v>
      </c>
      <c r="C8" s="292"/>
      <c r="D8" s="300" t="s">
        <v>124</v>
      </c>
      <c r="E8" s="300" t="s">
        <v>236</v>
      </c>
      <c r="F8" s="300" t="s">
        <v>254</v>
      </c>
      <c r="G8" s="300" t="s">
        <v>237</v>
      </c>
      <c r="H8" s="300" t="s">
        <v>238</v>
      </c>
      <c r="I8" s="302" t="s">
        <v>239</v>
      </c>
      <c r="J8" s="303"/>
      <c r="K8" s="303"/>
      <c r="L8" s="304"/>
      <c r="M8" s="305" t="s">
        <v>240</v>
      </c>
    </row>
    <row r="9" spans="1:13" ht="16.5" customHeight="1" thickBot="1" x14ac:dyDescent="0.3">
      <c r="A9" s="288"/>
      <c r="B9" s="106" t="s">
        <v>122</v>
      </c>
      <c r="C9" s="106" t="s">
        <v>123</v>
      </c>
      <c r="D9" s="301"/>
      <c r="E9" s="301"/>
      <c r="F9" s="301"/>
      <c r="G9" s="301"/>
      <c r="H9" s="301"/>
      <c r="I9" s="107" t="s">
        <v>125</v>
      </c>
      <c r="J9" s="108" t="s">
        <v>126</v>
      </c>
      <c r="K9" s="108" t="s">
        <v>127</v>
      </c>
      <c r="L9" s="109" t="s">
        <v>128</v>
      </c>
      <c r="M9" s="306"/>
    </row>
    <row r="10" spans="1:13" x14ac:dyDescent="0.25">
      <c r="A10" s="110"/>
      <c r="B10" s="111"/>
      <c r="C10" s="111"/>
      <c r="D10" s="112"/>
      <c r="E10" s="113"/>
      <c r="F10" s="113"/>
      <c r="G10" s="114"/>
      <c r="H10" s="115"/>
      <c r="I10" s="116"/>
      <c r="J10" s="117"/>
      <c r="K10" s="117"/>
      <c r="L10" s="118"/>
      <c r="M10" s="119"/>
    </row>
    <row r="11" spans="1:13" x14ac:dyDescent="0.25">
      <c r="A11" s="120" t="s">
        <v>130</v>
      </c>
      <c r="D11" s="122">
        <v>28</v>
      </c>
      <c r="H11" s="225">
        <v>13</v>
      </c>
      <c r="I11" s="126">
        <f>Lactation!E23</f>
        <v>498.48111580000005</v>
      </c>
      <c r="J11" s="127">
        <f>I11+(I11*Shrink)</f>
        <v>498.48111580000005</v>
      </c>
      <c r="K11" s="128">
        <f>J11+Margin_Pellet</f>
        <v>516.4811158</v>
      </c>
      <c r="L11" s="129">
        <f>K11+Freight</f>
        <v>524.4811158</v>
      </c>
      <c r="M11" s="130">
        <f>(H11*L11)/1000</f>
        <v>6.8182545054000006</v>
      </c>
    </row>
    <row r="12" spans="1:13" x14ac:dyDescent="0.25">
      <c r="A12" s="120" t="s">
        <v>131</v>
      </c>
      <c r="D12" s="122">
        <v>116</v>
      </c>
      <c r="H12" s="225">
        <v>24</v>
      </c>
      <c r="I12" s="126">
        <f>Gestation!E23</f>
        <v>445.01706755999999</v>
      </c>
      <c r="J12" s="127">
        <f>I12+(I12*Shrink)</f>
        <v>445.01706755999999</v>
      </c>
      <c r="K12" s="128">
        <f>J12+Margin_Pellet</f>
        <v>463.01706755999999</v>
      </c>
      <c r="L12" s="129">
        <f>K12+Freight</f>
        <v>471.01706755999999</v>
      </c>
      <c r="M12" s="130">
        <f>(H12*L12)/1000</f>
        <v>11.30440962144</v>
      </c>
    </row>
    <row r="13" spans="1:13" x14ac:dyDescent="0.25">
      <c r="A13" s="206" t="s">
        <v>147</v>
      </c>
      <c r="H13" s="225">
        <v>3</v>
      </c>
      <c r="I13" s="126">
        <f>'Gilt Dev'!E23</f>
        <v>455.27940580000006</v>
      </c>
      <c r="J13" s="127">
        <f>I13+(I13*Shrink)</f>
        <v>455.27940580000006</v>
      </c>
      <c r="K13" s="128">
        <f>J13+Margin_Pellet</f>
        <v>473.27940580000006</v>
      </c>
      <c r="L13" s="129">
        <f>K13+Freight</f>
        <v>481.27940580000006</v>
      </c>
      <c r="M13" s="130">
        <f>(H13*L13)/1000</f>
        <v>1.4438382174000004</v>
      </c>
    </row>
    <row r="14" spans="1:13" x14ac:dyDescent="0.25">
      <c r="A14" s="120"/>
      <c r="H14" s="125"/>
      <c r="I14" s="131"/>
      <c r="J14" s="127"/>
      <c r="K14" s="127"/>
      <c r="L14" s="129"/>
      <c r="M14" s="130"/>
    </row>
    <row r="15" spans="1:13" x14ac:dyDescent="0.25">
      <c r="A15" s="206" t="s">
        <v>251</v>
      </c>
      <c r="B15" s="224">
        <v>6.5</v>
      </c>
      <c r="C15" s="224">
        <v>8</v>
      </c>
      <c r="D15" s="223">
        <v>7</v>
      </c>
      <c r="E15" s="123">
        <f>(C15-B15)*1000/D15</f>
        <v>214.28571428571428</v>
      </c>
      <c r="F15" s="123">
        <f>G15*E15</f>
        <v>214.28571428571428</v>
      </c>
      <c r="G15" s="225">
        <v>1</v>
      </c>
      <c r="H15" s="125">
        <f>(C15-B15)*G15</f>
        <v>1.5</v>
      </c>
      <c r="I15" s="131">
        <f>'Starter 1'!E34</f>
        <v>911.10538866000002</v>
      </c>
      <c r="J15" s="127">
        <f>I15+(I15*Shrink)</f>
        <v>911.10538866000002</v>
      </c>
      <c r="K15" s="128">
        <f>J15+Margin_Crumbles</f>
        <v>961.10538866000002</v>
      </c>
      <c r="L15" s="129">
        <f>K15+Freight</f>
        <v>969.10538866000002</v>
      </c>
      <c r="M15" s="130">
        <f>(H15*L15)/1000</f>
        <v>1.4536580829899999</v>
      </c>
    </row>
    <row r="16" spans="1:13" x14ac:dyDescent="0.25">
      <c r="A16" s="120" t="s">
        <v>132</v>
      </c>
      <c r="B16" s="224">
        <f>C15</f>
        <v>8</v>
      </c>
      <c r="C16" s="224">
        <v>12</v>
      </c>
      <c r="D16" s="223">
        <v>12</v>
      </c>
      <c r="E16" s="123">
        <f>(C16-B16)*1000/D16</f>
        <v>333.33333333333331</v>
      </c>
      <c r="F16" s="123">
        <f>G16*E16</f>
        <v>416.66666666666663</v>
      </c>
      <c r="G16" s="225">
        <v>1.25</v>
      </c>
      <c r="H16" s="125">
        <f>(C16-B16)*G16</f>
        <v>5</v>
      </c>
      <c r="I16" s="126">
        <f>'Starter 2'!E31</f>
        <v>683.16691676000005</v>
      </c>
      <c r="J16" s="127">
        <f>I16+(I16*Shrink)</f>
        <v>683.16691676000005</v>
      </c>
      <c r="K16" s="128">
        <f>J16+Margin_Pellet</f>
        <v>701.16691676000005</v>
      </c>
      <c r="L16" s="129">
        <f>K16+Freight</f>
        <v>709.16691676000005</v>
      </c>
      <c r="M16" s="130">
        <f>(H16*L16)/1000</f>
        <v>3.5458345838000005</v>
      </c>
    </row>
    <row r="17" spans="1:17" x14ac:dyDescent="0.25">
      <c r="A17" s="120" t="s">
        <v>133</v>
      </c>
      <c r="B17" s="224">
        <f>C16</f>
        <v>12</v>
      </c>
      <c r="C17" s="224">
        <v>25</v>
      </c>
      <c r="D17" s="223">
        <v>21</v>
      </c>
      <c r="E17" s="123">
        <f>(C17-B17)*1000/D17</f>
        <v>619.04761904761904</v>
      </c>
      <c r="F17" s="123">
        <f>G17*E17</f>
        <v>1052.3809523809523</v>
      </c>
      <c r="G17" s="225">
        <v>1.7</v>
      </c>
      <c r="H17" s="125">
        <f>(C17-B17)*G17</f>
        <v>22.099999999999998</v>
      </c>
      <c r="I17" s="126">
        <f>'Pre-grower'!E24</f>
        <v>525.96995000000004</v>
      </c>
      <c r="J17" s="127">
        <f>I17+(I17*Shrink)</f>
        <v>525.96995000000004</v>
      </c>
      <c r="K17" s="128">
        <f>J17+Margin_Pellet</f>
        <v>543.96995000000004</v>
      </c>
      <c r="L17" s="129">
        <f>K17+Freight</f>
        <v>551.96995000000004</v>
      </c>
      <c r="M17" s="130">
        <f>(H17*L17)/1000</f>
        <v>12.198535894999999</v>
      </c>
    </row>
    <row r="18" spans="1:17" x14ac:dyDescent="0.25">
      <c r="A18" s="120"/>
      <c r="D18" s="226"/>
      <c r="H18" s="125"/>
      <c r="I18" s="131"/>
      <c r="J18" s="127"/>
      <c r="K18" s="127"/>
      <c r="L18" s="129"/>
      <c r="M18" s="130"/>
    </row>
    <row r="19" spans="1:17" x14ac:dyDescent="0.25">
      <c r="A19" s="206" t="s">
        <v>253</v>
      </c>
      <c r="B19" s="224">
        <f>C17</f>
        <v>25</v>
      </c>
      <c r="C19" s="224">
        <v>59.1</v>
      </c>
      <c r="D19" s="223">
        <v>39</v>
      </c>
      <c r="E19" s="123">
        <f>(C19-B19)*1000/D19</f>
        <v>874.35897435897436</v>
      </c>
      <c r="F19" s="123">
        <f>G19*E19</f>
        <v>2011.0256410256409</v>
      </c>
      <c r="G19" s="225">
        <v>2.2999999999999998</v>
      </c>
      <c r="H19" s="125">
        <f>(C19-B19)*G19</f>
        <v>78.429999999999993</v>
      </c>
      <c r="I19" s="126">
        <f>'Grower 1'!E23</f>
        <v>473.79870000000005</v>
      </c>
      <c r="J19" s="127">
        <f>I19+(I19*Shrink)</f>
        <v>473.79870000000005</v>
      </c>
      <c r="K19" s="128">
        <f>J19+Margin_Pellet</f>
        <v>491.79870000000005</v>
      </c>
      <c r="L19" s="129">
        <f>K19+Freight</f>
        <v>499.79870000000005</v>
      </c>
      <c r="M19" s="130">
        <f>(H19*L19)/1000</f>
        <v>39.199212040999996</v>
      </c>
      <c r="Q19" s="270"/>
    </row>
    <row r="20" spans="1:17" x14ac:dyDescent="0.25">
      <c r="A20" s="206" t="s">
        <v>252</v>
      </c>
      <c r="B20" s="224">
        <f>C19</f>
        <v>59.1</v>
      </c>
      <c r="C20" s="224">
        <v>94.3</v>
      </c>
      <c r="D20" s="223">
        <v>38</v>
      </c>
      <c r="E20" s="123">
        <f>(C20-B20)*1000/D20</f>
        <v>926.31578947368405</v>
      </c>
      <c r="F20" s="123">
        <f>G20*E20</f>
        <v>2611.0989473684208</v>
      </c>
      <c r="G20" s="225">
        <f>2.9*0.972</f>
        <v>2.8188</v>
      </c>
      <c r="H20" s="125">
        <f>(C20-B20)*G20</f>
        <v>99.221759999999989</v>
      </c>
      <c r="I20" s="126">
        <f>'Grower 2'!E22</f>
        <v>452.9421999999999</v>
      </c>
      <c r="J20" s="127">
        <f>I20+(I20*Shrink)</f>
        <v>452.9421999999999</v>
      </c>
      <c r="K20" s="128">
        <f>J20+Margin_Pellet</f>
        <v>470.9421999999999</v>
      </c>
      <c r="L20" s="129">
        <f>K20+Freight</f>
        <v>478.9421999999999</v>
      </c>
      <c r="M20" s="130">
        <f>(H20*L20)/1000</f>
        <v>47.521488022271988</v>
      </c>
      <c r="Q20" s="270"/>
    </row>
    <row r="21" spans="1:17" x14ac:dyDescent="0.25">
      <c r="A21" s="120" t="s">
        <v>134</v>
      </c>
      <c r="B21" s="224">
        <f>C20</f>
        <v>94.3</v>
      </c>
      <c r="C21" s="224">
        <v>129.4</v>
      </c>
      <c r="D21" s="223">
        <v>39</v>
      </c>
      <c r="E21" s="123">
        <f>(C21-B21)*1000/D21</f>
        <v>900.00000000000023</v>
      </c>
      <c r="F21" s="123">
        <f>G21*E21</f>
        <v>3097.4400000000005</v>
      </c>
      <c r="G21" s="225">
        <f>3.6*0.956</f>
        <v>3.4415999999999998</v>
      </c>
      <c r="H21" s="125">
        <f>(C21-B21)*G21</f>
        <v>120.80016000000002</v>
      </c>
      <c r="I21" s="126">
        <f>Finisher!E24</f>
        <v>442.04740898</v>
      </c>
      <c r="J21" s="127">
        <f>I21+(I21*Shrink)</f>
        <v>442.04740898</v>
      </c>
      <c r="K21" s="128">
        <f>J21+Margin_Pellet</f>
        <v>460.04740898</v>
      </c>
      <c r="L21" s="129">
        <f>K21+Freight</f>
        <v>468.04740898</v>
      </c>
      <c r="M21" s="130">
        <f>(H21*L21)/1000</f>
        <v>56.540201892369446</v>
      </c>
      <c r="Q21" s="270"/>
    </row>
    <row r="22" spans="1:17" ht="16.5" thickBot="1" x14ac:dyDescent="0.3">
      <c r="A22" s="132"/>
      <c r="B22" s="133"/>
      <c r="C22" s="133"/>
      <c r="D22" s="134"/>
      <c r="E22" s="135"/>
      <c r="F22" s="135"/>
      <c r="G22" s="136"/>
      <c r="H22" s="137"/>
      <c r="I22" s="138"/>
      <c r="J22" s="139"/>
      <c r="K22" s="139"/>
      <c r="L22" s="140"/>
      <c r="M22" s="141"/>
    </row>
    <row r="23" spans="1:17" x14ac:dyDescent="0.25">
      <c r="A23" s="142" t="s">
        <v>136</v>
      </c>
      <c r="B23" s="143"/>
      <c r="C23" s="143"/>
      <c r="D23" s="144"/>
      <c r="E23" s="145"/>
      <c r="F23" s="145"/>
      <c r="G23" s="146"/>
      <c r="H23" s="147"/>
      <c r="I23" s="148"/>
      <c r="J23" s="149"/>
      <c r="K23" s="149"/>
      <c r="L23" s="150"/>
      <c r="M23" s="151"/>
    </row>
    <row r="24" spans="1:17" x14ac:dyDescent="0.25">
      <c r="A24" s="120" t="s">
        <v>137</v>
      </c>
      <c r="B24" s="152"/>
      <c r="C24" s="152"/>
      <c r="D24" s="153"/>
      <c r="E24" s="154"/>
      <c r="F24" s="154"/>
      <c r="G24" s="155"/>
      <c r="H24" s="156">
        <f>SUM(H11:H13)</f>
        <v>40</v>
      </c>
      <c r="I24" s="157"/>
      <c r="J24" s="158"/>
      <c r="K24" s="158"/>
      <c r="L24" s="159"/>
      <c r="M24" s="160">
        <f>SUM(M11:M13)</f>
        <v>19.56650234424</v>
      </c>
    </row>
    <row r="25" spans="1:17" x14ac:dyDescent="0.25">
      <c r="A25" s="120" t="s">
        <v>138</v>
      </c>
      <c r="B25" s="152"/>
      <c r="C25" s="152"/>
      <c r="D25" s="153">
        <f>SUM(D15:D17)</f>
        <v>40</v>
      </c>
      <c r="E25" s="154">
        <f>(C17-B15)/D25*1000</f>
        <v>462.5</v>
      </c>
      <c r="F25" s="154"/>
      <c r="G25" s="155">
        <f>H25/(C17-B15)</f>
        <v>1.5459459459459459</v>
      </c>
      <c r="H25" s="156">
        <f>SUM(H15:H17)</f>
        <v>28.599999999999998</v>
      </c>
      <c r="I25" s="157"/>
      <c r="J25" s="158"/>
      <c r="K25" s="158"/>
      <c r="L25" s="159"/>
      <c r="M25" s="160">
        <f>SUM(M15:M17)</f>
        <v>17.19802856179</v>
      </c>
    </row>
    <row r="26" spans="1:17" x14ac:dyDescent="0.25">
      <c r="A26" s="120" t="s">
        <v>139</v>
      </c>
      <c r="B26" s="152"/>
      <c r="C26" s="152"/>
      <c r="D26" s="153">
        <f>SUM(D19:D21)</f>
        <v>116</v>
      </c>
      <c r="E26" s="154">
        <f>(C21-B19)/D26*1000</f>
        <v>900</v>
      </c>
      <c r="F26" s="154"/>
      <c r="G26" s="155">
        <f>H26/(C21-B19)</f>
        <v>2.8587348659003826</v>
      </c>
      <c r="H26" s="156">
        <f>SUM(H19:H21)</f>
        <v>298.45191999999997</v>
      </c>
      <c r="I26" s="157"/>
      <c r="J26" s="158"/>
      <c r="K26" s="158"/>
      <c r="L26" s="159"/>
      <c r="M26" s="160">
        <f>SUM(M19:M21)</f>
        <v>143.26090195564143</v>
      </c>
    </row>
    <row r="27" spans="1:17" ht="16.5" thickBot="1" x14ac:dyDescent="0.3">
      <c r="A27" s="161" t="s">
        <v>140</v>
      </c>
      <c r="B27" s="162"/>
      <c r="C27" s="162"/>
      <c r="D27" s="163">
        <f>SUM(D25:D26)</f>
        <v>156</v>
      </c>
      <c r="E27" s="164">
        <f>(C21-B15)/D27*1000</f>
        <v>787.82051282051293</v>
      </c>
      <c r="F27" s="164"/>
      <c r="G27" s="165">
        <f>H27/(C21-B15)</f>
        <v>2.9865900732302681</v>
      </c>
      <c r="H27" s="166">
        <f>SUM(H24:H26)</f>
        <v>367.05192</v>
      </c>
      <c r="I27" s="167"/>
      <c r="J27" s="168"/>
      <c r="K27" s="168"/>
      <c r="L27" s="169"/>
      <c r="M27" s="170">
        <f>SUM(M24:M26)</f>
        <v>180.02543286167145</v>
      </c>
    </row>
    <row r="29" spans="1:17" hidden="1" x14ac:dyDescent="0.25">
      <c r="A29" s="101" t="s">
        <v>141</v>
      </c>
      <c r="B29" s="246" t="s">
        <v>321</v>
      </c>
      <c r="C29" s="246" t="s">
        <v>319</v>
      </c>
      <c r="D29" s="192" t="s">
        <v>200</v>
      </c>
    </row>
    <row r="30" spans="1:17" hidden="1" x14ac:dyDescent="0.25">
      <c r="A30" s="6" t="s">
        <v>269</v>
      </c>
      <c r="B30" s="171">
        <f>IF(ISNA(VLOOKUP(RMP_MainRM[[#This Row],[INGREDIENT]],RMP_MFH,2,FALSE)),"N/A",VLOOKUP(RMP_MainRM[[#This Row],[INGREDIENT]],RMP_MFH,2,FALSE))</f>
        <v>468</v>
      </c>
      <c r="C30" s="171">
        <f>IF(ISNA(VLOOKUP(RMP_MainRM[[#This Row],[INGREDIENT]],RMP_MFH,5,FALSE)),"N/A",VLOOKUP(RMP_MainRM[[#This Row],[INGREDIENT]],RMP_MFH,5,FALSE))</f>
        <v>455</v>
      </c>
      <c r="D30" s="172">
        <f>RMP_MainRM[[#This Row],[Dec-21]]-RMP_MainRM[[#This Row],[Nov-21]]</f>
        <v>13</v>
      </c>
    </row>
    <row r="31" spans="1:17" hidden="1" x14ac:dyDescent="0.25">
      <c r="A31" s="101" t="s">
        <v>17</v>
      </c>
      <c r="B31" s="171">
        <f>IF(ISNA(VLOOKUP(RMP_MainRM[[#This Row],[INGREDIENT]],RMP_MFH,2,FALSE)),"N/A",VLOOKUP(RMP_MainRM[[#This Row],[INGREDIENT]],RMP_MFH,2,FALSE))</f>
        <v>430</v>
      </c>
      <c r="C31" s="171">
        <f>IF(ISNA(VLOOKUP(RMP_MainRM[[#This Row],[INGREDIENT]],RMP_MFH,5,FALSE)),"N/A",VLOOKUP(RMP_MainRM[[#This Row],[INGREDIENT]],RMP_MFH,5,FALSE))</f>
        <v>425</v>
      </c>
      <c r="D31" s="172">
        <f>RMP_MainRM[[#This Row],[Dec-21]]-RMP_MainRM[[#This Row],[Nov-21]]</f>
        <v>5</v>
      </c>
    </row>
    <row r="32" spans="1:17" hidden="1" x14ac:dyDescent="0.25">
      <c r="A32" s="101" t="s">
        <v>16</v>
      </c>
      <c r="B32" s="171">
        <f>IF(ISNA(VLOOKUP(RMP_MainRM[[#This Row],[INGREDIENT]],RMP_MFH,2,FALSE)),"N/A",VLOOKUP(RMP_MainRM[[#This Row],[INGREDIENT]],RMP_MFH,2,FALSE))</f>
        <v>404</v>
      </c>
      <c r="C32" s="171">
        <f>IF(ISNA(VLOOKUP(RMP_MainRM[[#This Row],[INGREDIENT]],RMP_MFH,5,FALSE)),"N/A",VLOOKUP(RMP_MainRM[[#This Row],[INGREDIENT]],RMP_MFH,5,FALSE))</f>
        <v>401</v>
      </c>
      <c r="D32" s="172">
        <f>RMP_MainRM[[#This Row],[Dec-21]]-RMP_MainRM[[#This Row],[Nov-21]]</f>
        <v>3</v>
      </c>
    </row>
    <row r="33" spans="1:13" hidden="1" x14ac:dyDescent="0.25">
      <c r="A33" s="6" t="s">
        <v>109</v>
      </c>
      <c r="B33" s="171">
        <f>IF(ISNA(VLOOKUP(RMP_MainRM[[#This Row],[INGREDIENT]],RMP_MFH,2,FALSE)),"N/A",VLOOKUP(RMP_MainRM[[#This Row],[INGREDIENT]],RMP_MFH,2,FALSE))</f>
        <v>450</v>
      </c>
      <c r="C33" s="171">
        <f>IF(ISNA(VLOOKUP(RMP_MainRM[[#This Row],[INGREDIENT]],RMP_MFH,5,FALSE)),"N/A",VLOOKUP(RMP_MainRM[[#This Row],[INGREDIENT]],RMP_MFH,5,FALSE))</f>
        <v>419</v>
      </c>
      <c r="D33" s="172">
        <f>RMP_MainRM[[#This Row],[Dec-21]]-RMP_MainRM[[#This Row],[Nov-21]]</f>
        <v>31</v>
      </c>
    </row>
    <row r="34" spans="1:13" hidden="1" x14ac:dyDescent="0.25">
      <c r="A34" s="6" t="s">
        <v>270</v>
      </c>
      <c r="B34" s="171">
        <f>IF(ISNA(VLOOKUP(RMP_MainRM[[#This Row],[INGREDIENT]],RMP_MFH,2,FALSE)),"N/A",VLOOKUP(RMP_MainRM[[#This Row],[INGREDIENT]],RMP_MFH,2,FALSE))</f>
        <v>422</v>
      </c>
      <c r="C34" s="171">
        <f>IF(ISNA(VLOOKUP(RMP_MainRM[[#This Row],[INGREDIENT]],RMP_MFH,5,FALSE)),"N/A",VLOOKUP(RMP_MainRM[[#This Row],[INGREDIENT]],RMP_MFH,5,FALSE))</f>
        <v>395</v>
      </c>
      <c r="D34" s="172">
        <f>RMP_MainRM[[#This Row],[Dec-21]]-RMP_MainRM[[#This Row],[Nov-21]]</f>
        <v>27</v>
      </c>
    </row>
    <row r="35" spans="1:13" hidden="1" x14ac:dyDescent="0.25">
      <c r="A35" s="101" t="s">
        <v>113</v>
      </c>
      <c r="B35" s="171">
        <f>IF(ISNA(VLOOKUP(RMP_MainRM[[#This Row],[INGREDIENT]],RMP_MFH,2,FALSE)),"N/A",VLOOKUP(RMP_MainRM[[#This Row],[INGREDIENT]],RMP_MFH,2,FALSE))</f>
        <v>556</v>
      </c>
      <c r="C35" s="171">
        <f>IF(ISNA(VLOOKUP(RMP_MainRM[[#This Row],[INGREDIENT]],RMP_MFH,5,FALSE)),"N/A",VLOOKUP(RMP_MainRM[[#This Row],[INGREDIENT]],RMP_MFH,5,FALSE))</f>
        <v>480</v>
      </c>
      <c r="D35" s="172">
        <f>RMP_MainRM[[#This Row],[Dec-21]]-RMP_MainRM[[#This Row],[Nov-21]]</f>
        <v>76</v>
      </c>
    </row>
    <row r="36" spans="1:13" hidden="1" x14ac:dyDescent="0.25">
      <c r="A36" s="101" t="s">
        <v>15</v>
      </c>
      <c r="B36" s="171">
        <f>IF(ISNA(VLOOKUP(RMP_MainRM[[#This Row],[INGREDIENT]],RMP_MFH,2,FALSE)),"N/A",VLOOKUP(RMP_MainRM[[#This Row],[INGREDIENT]],RMP_MFH,2,FALSE))</f>
        <v>556</v>
      </c>
      <c r="C36" s="171">
        <f>IF(ISNA(VLOOKUP(RMP_MainRM[[#This Row],[INGREDIENT]],RMP_MFH,5,FALSE)),"N/A",VLOOKUP(RMP_MainRM[[#This Row],[INGREDIENT]],RMP_MFH,5,FALSE))</f>
        <v>472</v>
      </c>
      <c r="D36" s="172">
        <f>RMP_MainRM[[#This Row],[Dec-21]]-RMP_MainRM[[#This Row],[Nov-21]]</f>
        <v>84</v>
      </c>
    </row>
    <row r="37" spans="1:13" hidden="1" x14ac:dyDescent="0.25">
      <c r="A37" s="101" t="s">
        <v>112</v>
      </c>
      <c r="B37" s="171">
        <f>IF(ISNA(VLOOKUP(RMP_MainRM[[#This Row],[INGREDIENT]],RMP_MFH,2,FALSE)),"N/A",VLOOKUP(RMP_MainRM[[#This Row],[INGREDIENT]],RMP_MFH,2,FALSE))</f>
        <v>457</v>
      </c>
      <c r="C37" s="171">
        <f>IF(ISNA(VLOOKUP(RMP_MainRM[[#This Row],[INGREDIENT]],RMP_MFH,5,FALSE)),"N/A",VLOOKUP(RMP_MainRM[[#This Row],[INGREDIENT]],RMP_MFH,5,FALSE))</f>
        <v>425</v>
      </c>
      <c r="D37" s="172">
        <f>RMP_MainRM[[#This Row],[Dec-21]]-RMP_MainRM[[#This Row],[Nov-21]]</f>
        <v>32</v>
      </c>
    </row>
    <row r="38" spans="1:13" hidden="1" x14ac:dyDescent="0.25">
      <c r="A38" s="6" t="s">
        <v>272</v>
      </c>
      <c r="B38" s="236">
        <f>IF(ISNA(VLOOKUP(RMP_MainRM[[#This Row],[INGREDIENT]],RMP_MFH,2,FALSE)),"N/A",VLOOKUP(RMP_MainRM[[#This Row],[INGREDIENT]],RMP_MFH,2,FALSE))</f>
        <v>618</v>
      </c>
      <c r="C38" s="236">
        <f>IF(ISNA(VLOOKUP(RMP_MainRM[[#This Row],[INGREDIENT]],RMP_MFH,5,FALSE)),"N/A",VLOOKUP(RMP_MainRM[[#This Row],[INGREDIENT]],RMP_MFH,5,FALSE))</f>
        <v>600</v>
      </c>
      <c r="D38" s="237">
        <f>RMP_MainRM[[#This Row],[Dec-21]]-RMP_MainRM[[#This Row],[Nov-21]]</f>
        <v>18</v>
      </c>
    </row>
    <row r="39" spans="1:13" hidden="1" x14ac:dyDescent="0.25">
      <c r="A39" s="6" t="s">
        <v>277</v>
      </c>
      <c r="B39" s="171">
        <f>IF(ISNA(VLOOKUP(RMP_MainRM[[#This Row],[INGREDIENT]],RMP_MFH,2,FALSE)),"N/A",VLOOKUP(RMP_MainRM[[#This Row],[INGREDIENT]],RMP_MFH,2,FALSE))</f>
        <v>2610</v>
      </c>
      <c r="C39" s="171">
        <f>IF(ISNA(VLOOKUP(RMP_MainRM[[#This Row],[INGREDIENT]],RMP_MFH,5,FALSE)),"N/A",VLOOKUP(RMP_MainRM[[#This Row],[INGREDIENT]],RMP_MFH,5,FALSE))</f>
        <v>2500</v>
      </c>
      <c r="D39" s="172">
        <f>RMP_MainRM[[#This Row],[Dec-21]]-RMP_MainRM[[#This Row],[Nov-21]]</f>
        <v>110</v>
      </c>
    </row>
    <row r="40" spans="1:13" hidden="1" x14ac:dyDescent="0.25">
      <c r="A40" s="6" t="s">
        <v>306</v>
      </c>
      <c r="B40" s="171">
        <f>IF(ISNA(VLOOKUP(RMP_MainRM[[#This Row],[INGREDIENT]],RMP_MFH,2,FALSE)),"N/A",VLOOKUP(RMP_MainRM[[#This Row],[INGREDIENT]],RMP_MFH,2,FALSE))</f>
        <v>2650</v>
      </c>
      <c r="C40" s="171">
        <f>IF(ISNA(VLOOKUP(RMP_MainRM[[#This Row],[INGREDIENT]],RMP_MFH,5,FALSE)),"N/A",VLOOKUP(RMP_MainRM[[#This Row],[INGREDIENT]],RMP_MFH,5,FALSE))</f>
        <v>2650</v>
      </c>
      <c r="D40" s="172">
        <f>RMP_MainRM[[#This Row],[Dec-21]]-RMP_MainRM[[#This Row],[Nov-21]]</f>
        <v>0</v>
      </c>
    </row>
    <row r="41" spans="1:13" hidden="1" x14ac:dyDescent="0.25"/>
    <row r="43" spans="1:13" x14ac:dyDescent="0.25">
      <c r="B43" s="310" t="s">
        <v>305</v>
      </c>
      <c r="C43" s="311"/>
      <c r="D43" s="311"/>
    </row>
    <row r="44" spans="1:13" x14ac:dyDescent="0.25">
      <c r="B44" s="311"/>
      <c r="C44" s="311"/>
      <c r="D44" s="311"/>
    </row>
    <row r="45" spans="1:13" x14ac:dyDescent="0.25">
      <c r="B45" s="311"/>
      <c r="C45" s="311"/>
      <c r="D45" s="311"/>
    </row>
    <row r="46" spans="1:13" x14ac:dyDescent="0.25">
      <c r="B46" s="311"/>
      <c r="C46" s="311"/>
      <c r="D46" s="311"/>
    </row>
    <row r="48" spans="1:13" ht="42" customHeight="1" x14ac:dyDescent="0.25">
      <c r="A48" s="309" t="s">
        <v>311</v>
      </c>
      <c r="B48" s="309"/>
      <c r="C48" s="309"/>
      <c r="D48" s="309"/>
      <c r="E48" s="309"/>
      <c r="F48" s="309"/>
      <c r="G48" s="309"/>
      <c r="H48" s="309"/>
      <c r="I48" s="309"/>
      <c r="J48" s="309"/>
      <c r="K48" s="309"/>
      <c r="L48" s="309"/>
      <c r="M48" s="309"/>
    </row>
    <row r="49" spans="1:1" x14ac:dyDescent="0.25">
      <c r="A49" s="245"/>
    </row>
  </sheetData>
  <sheetProtection algorithmName="SHA-512" hashValue="24bl3pi2iFJVy/K1yVvOkmlWOmW5txf2sqPRuWIGaYJk71INWrFuGyWXcbgGVzfO2UBFJn3a62EWIDU/cV1k+w==" saltValue="SsXFFdwLhlVSoxxhMPUF7Q==" spinCount="100000" sheet="1" objects="1" scenarios="1"/>
  <protectedRanges>
    <protectedRange sqref="H11:H13" name="sow budget"/>
    <protectedRange sqref="I11:I21" name="diet costs"/>
    <protectedRange sqref="B15:D17 B19:D21 G15:G17 G19:G21" name="fcm"/>
    <protectedRange sqref="B5:C6" name="margin"/>
  </protectedRanges>
  <mergeCells count="13">
    <mergeCell ref="A48:M48"/>
    <mergeCell ref="B43:D46"/>
    <mergeCell ref="A8:A9"/>
    <mergeCell ref="B8:C8"/>
    <mergeCell ref="D8:D9"/>
    <mergeCell ref="E8:E9"/>
    <mergeCell ref="G8:G9"/>
    <mergeCell ref="B4:C4"/>
    <mergeCell ref="F8:F9"/>
    <mergeCell ref="I8:L8"/>
    <mergeCell ref="M8:M9"/>
    <mergeCell ref="B6:C6"/>
    <mergeCell ref="H8:H9"/>
  </mergeCells>
  <printOptions horizontalCentered="1"/>
  <pageMargins left="0.39370078740157483" right="0.39370078740157483" top="0.98425196850393704" bottom="0.39370078740157483" header="0.31496062992125984" footer="0.31496062992125984"/>
  <pageSetup scale="72" orientation="landscape" horizontalDpi="0" verticalDpi="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8"/>
  <sheetViews>
    <sheetView zoomScale="89" zoomScaleNormal="89" workbookViewId="0">
      <pane xSplit="1" ySplit="5" topLeftCell="B6" activePane="bottomRight" state="frozen"/>
      <selection pane="topRight" activeCell="B1" sqref="B1"/>
      <selection pane="bottomLeft" activeCell="A6" sqref="A6"/>
      <selection pane="bottomRight" activeCell="B13" sqref="B13"/>
    </sheetView>
  </sheetViews>
  <sheetFormatPr defaultColWidth="10.77734375" defaultRowHeight="15.75" x14ac:dyDescent="0.25"/>
  <cols>
    <col min="1" max="1" width="27.77734375" style="6" customWidth="1"/>
    <col min="2" max="16384" width="10.77734375" style="25"/>
  </cols>
  <sheetData>
    <row r="1" spans="1:8" customFormat="1" ht="19.5" thickTop="1" thickBot="1" x14ac:dyDescent="0.3">
      <c r="A1" s="21" t="s">
        <v>154</v>
      </c>
    </row>
    <row r="2" spans="1:8" customFormat="1" ht="16.5" thickTop="1" x14ac:dyDescent="0.25">
      <c r="A2" s="6"/>
    </row>
    <row r="3" spans="1:8" customFormat="1" x14ac:dyDescent="0.25">
      <c r="A3" s="6"/>
    </row>
    <row r="4" spans="1:8" customFormat="1" ht="16.5" thickBot="1" x14ac:dyDescent="0.3">
      <c r="A4" s="28" t="s">
        <v>148</v>
      </c>
    </row>
    <row r="5" spans="1:8" customFormat="1" x14ac:dyDescent="0.25">
      <c r="A5" s="173" t="s">
        <v>152</v>
      </c>
      <c r="B5" s="207">
        <v>44551</v>
      </c>
      <c r="C5" s="207">
        <v>44521</v>
      </c>
      <c r="D5" s="207">
        <v>44490</v>
      </c>
      <c r="E5" s="207">
        <v>44460</v>
      </c>
      <c r="F5" s="207">
        <v>44429</v>
      </c>
      <c r="G5" s="207">
        <v>44398</v>
      </c>
      <c r="H5" s="207">
        <v>44337</v>
      </c>
    </row>
    <row r="6" spans="1:8" customFormat="1" x14ac:dyDescent="0.25">
      <c r="A6" s="26"/>
    </row>
    <row r="7" spans="1:8" s="24" customFormat="1" x14ac:dyDescent="0.25">
      <c r="A7" s="23" t="s">
        <v>149</v>
      </c>
      <c r="B7" s="24">
        <v>19.56650234424</v>
      </c>
      <c r="C7" s="24">
        <v>19.012139257959998</v>
      </c>
      <c r="D7" s="24">
        <v>18.543601462000002</v>
      </c>
      <c r="E7" s="24">
        <v>18.251076085560001</v>
      </c>
      <c r="F7" s="24">
        <v>18.950090800449995</v>
      </c>
      <c r="G7" s="24">
        <v>16.057778615390401</v>
      </c>
      <c r="H7" s="24">
        <v>16.173174254999999</v>
      </c>
    </row>
    <row r="8" spans="1:8" s="24" customFormat="1" x14ac:dyDescent="0.25">
      <c r="A8" s="23" t="s">
        <v>150</v>
      </c>
      <c r="B8" s="24">
        <v>17.19802856179</v>
      </c>
      <c r="C8" s="24">
        <v>16.819376102274997</v>
      </c>
      <c r="D8" s="24">
        <v>16.274011814364997</v>
      </c>
      <c r="E8" s="24">
        <v>16.150502186541996</v>
      </c>
      <c r="F8" s="24">
        <v>16.843967683824999</v>
      </c>
      <c r="G8" s="24">
        <v>15.230666839162875</v>
      </c>
      <c r="H8" s="24">
        <v>15.571835731009998</v>
      </c>
    </row>
    <row r="9" spans="1:8" s="24" customFormat="1" x14ac:dyDescent="0.25">
      <c r="A9" s="23" t="s">
        <v>151</v>
      </c>
      <c r="B9" s="24">
        <v>143.26090195564143</v>
      </c>
      <c r="C9" s="24">
        <v>138.91114511662465</v>
      </c>
      <c r="D9" s="24">
        <v>133.13570830680302</v>
      </c>
      <c r="E9" s="24">
        <v>136.3531075109376</v>
      </c>
      <c r="F9" s="24">
        <v>141.33152500749998</v>
      </c>
      <c r="G9" s="24">
        <v>119.75851254789987</v>
      </c>
      <c r="H9" s="24">
        <v>120.18444698479298</v>
      </c>
    </row>
    <row r="10" spans="1:8" s="24" customFormat="1" ht="16.5" thickBot="1" x14ac:dyDescent="0.3">
      <c r="A10" s="23"/>
    </row>
    <row r="11" spans="1:8" s="24" customFormat="1" x14ac:dyDescent="0.25">
      <c r="A11" s="32" t="s">
        <v>201</v>
      </c>
      <c r="B11" s="31">
        <f t="shared" ref="B11" si="0">SUM(B7:B9)</f>
        <v>180.02543286167145</v>
      </c>
      <c r="C11" s="31">
        <f t="shared" ref="C11:H11" si="1">SUM(C7:C9)</f>
        <v>174.74266047685964</v>
      </c>
      <c r="D11" s="31">
        <f t="shared" si="1"/>
        <v>167.95332158316802</v>
      </c>
      <c r="E11" s="31">
        <f t="shared" si="1"/>
        <v>170.7546857830396</v>
      </c>
      <c r="F11" s="31">
        <f t="shared" si="1"/>
        <v>177.12558349177499</v>
      </c>
      <c r="G11" s="31">
        <f t="shared" si="1"/>
        <v>151.04695800245315</v>
      </c>
      <c r="H11" s="31">
        <f t="shared" si="1"/>
        <v>151.92945697080299</v>
      </c>
    </row>
    <row r="12" spans="1:8" ht="16.5" thickBot="1" x14ac:dyDescent="0.3">
      <c r="A12" s="33" t="s">
        <v>202</v>
      </c>
      <c r="B12" s="191">
        <f t="shared" ref="B12:G12" si="2">B11-C11</f>
        <v>5.2827723848118069</v>
      </c>
      <c r="C12" s="191">
        <f t="shared" si="2"/>
        <v>6.789338893691621</v>
      </c>
      <c r="D12" s="191">
        <f t="shared" si="2"/>
        <v>-2.8013641998715855</v>
      </c>
      <c r="E12" s="191">
        <f t="shared" si="2"/>
        <v>-6.3708977087353844</v>
      </c>
      <c r="F12" s="191">
        <f t="shared" si="2"/>
        <v>26.078625489321837</v>
      </c>
      <c r="G12" s="191">
        <f t="shared" si="2"/>
        <v>-0.88249896834983588</v>
      </c>
      <c r="H12" s="191"/>
    </row>
    <row r="13" spans="1:8" ht="16.5" thickTop="1" x14ac:dyDescent="0.25">
      <c r="A13" s="34"/>
    </row>
    <row r="15" spans="1:8" ht="16.5" thickBot="1" x14ac:dyDescent="0.3">
      <c r="A15" s="27" t="s">
        <v>153</v>
      </c>
      <c r="B15" s="29"/>
      <c r="C15" s="29"/>
      <c r="D15" s="29"/>
      <c r="E15" s="29"/>
      <c r="F15" s="29"/>
      <c r="G15" s="29"/>
      <c r="H15" s="29"/>
    </row>
    <row r="16" spans="1:8" x14ac:dyDescent="0.25">
      <c r="A16" s="22"/>
    </row>
    <row r="17" spans="1:8" x14ac:dyDescent="0.25">
      <c r="A17" s="214" t="s">
        <v>269</v>
      </c>
      <c r="B17" s="25">
        <v>468</v>
      </c>
      <c r="C17" s="25">
        <v>455</v>
      </c>
      <c r="D17" s="25">
        <v>418</v>
      </c>
      <c r="E17" s="25">
        <v>404</v>
      </c>
      <c r="F17" s="25">
        <v>425</v>
      </c>
      <c r="G17" s="25">
        <v>343.86</v>
      </c>
      <c r="H17" s="25">
        <v>345</v>
      </c>
    </row>
    <row r="18" spans="1:8" x14ac:dyDescent="0.25">
      <c r="A18" s="214" t="s">
        <v>17</v>
      </c>
      <c r="B18" s="25">
        <v>430</v>
      </c>
      <c r="C18" s="25">
        <v>425</v>
      </c>
      <c r="D18" s="25">
        <v>395</v>
      </c>
      <c r="E18" s="25">
        <v>379</v>
      </c>
      <c r="F18" s="25">
        <v>415</v>
      </c>
      <c r="G18" s="25">
        <v>321.51</v>
      </c>
      <c r="H18" s="25">
        <v>350</v>
      </c>
    </row>
    <row r="19" spans="1:8" x14ac:dyDescent="0.25">
      <c r="A19" s="214" t="s">
        <v>16</v>
      </c>
      <c r="B19" s="25">
        <v>404</v>
      </c>
      <c r="C19" s="25">
        <v>401</v>
      </c>
      <c r="D19" s="25">
        <v>395</v>
      </c>
      <c r="E19" s="25">
        <v>440</v>
      </c>
      <c r="F19" s="25">
        <v>450</v>
      </c>
      <c r="G19" s="25">
        <v>400</v>
      </c>
      <c r="H19" s="25">
        <v>355</v>
      </c>
    </row>
    <row r="20" spans="1:8" x14ac:dyDescent="0.25">
      <c r="A20" s="214" t="s">
        <v>109</v>
      </c>
      <c r="B20" s="25">
        <v>450</v>
      </c>
      <c r="C20" s="25">
        <v>419</v>
      </c>
      <c r="D20" s="25">
        <v>392</v>
      </c>
      <c r="E20" s="25">
        <v>386</v>
      </c>
      <c r="F20" s="25">
        <v>390</v>
      </c>
      <c r="G20" s="25">
        <v>345</v>
      </c>
      <c r="H20" s="25">
        <v>430</v>
      </c>
    </row>
    <row r="21" spans="1:8" x14ac:dyDescent="0.25">
      <c r="A21" s="214" t="s">
        <v>270</v>
      </c>
      <c r="B21" s="25">
        <v>422</v>
      </c>
      <c r="C21" s="25">
        <v>395</v>
      </c>
      <c r="D21" s="25">
        <v>380</v>
      </c>
      <c r="E21" s="25">
        <v>380</v>
      </c>
      <c r="F21" s="25">
        <v>350</v>
      </c>
      <c r="G21" s="25">
        <v>285</v>
      </c>
      <c r="H21" s="25">
        <v>285</v>
      </c>
    </row>
    <row r="22" spans="1:8" x14ac:dyDescent="0.25">
      <c r="A22" s="214" t="s">
        <v>113</v>
      </c>
      <c r="B22" s="25">
        <v>556</v>
      </c>
      <c r="C22" s="25">
        <v>480</v>
      </c>
      <c r="D22" s="25">
        <v>470</v>
      </c>
      <c r="E22" s="25">
        <v>490</v>
      </c>
      <c r="F22" s="25">
        <v>460</v>
      </c>
      <c r="G22" s="25">
        <v>366.17</v>
      </c>
      <c r="H22" s="25">
        <v>349</v>
      </c>
    </row>
    <row r="23" spans="1:8" x14ac:dyDescent="0.25">
      <c r="A23" s="214" t="s">
        <v>15</v>
      </c>
      <c r="B23" s="25">
        <v>556</v>
      </c>
      <c r="C23" s="25">
        <v>472</v>
      </c>
      <c r="D23" s="25">
        <v>470</v>
      </c>
      <c r="E23" s="25">
        <v>490</v>
      </c>
      <c r="F23" s="25">
        <v>460</v>
      </c>
      <c r="G23" s="25">
        <v>366.17</v>
      </c>
      <c r="H23" s="25">
        <v>360</v>
      </c>
    </row>
    <row r="24" spans="1:8" x14ac:dyDescent="0.25">
      <c r="A24" s="214" t="s">
        <v>112</v>
      </c>
      <c r="B24" s="25">
        <v>457</v>
      </c>
      <c r="C24" s="25">
        <v>425</v>
      </c>
      <c r="D24" s="25">
        <v>390</v>
      </c>
      <c r="E24" s="25">
        <v>395</v>
      </c>
      <c r="F24" s="25">
        <v>390</v>
      </c>
      <c r="G24" s="25">
        <v>375</v>
      </c>
      <c r="H24" s="25">
        <v>450</v>
      </c>
    </row>
    <row r="25" spans="1:8" x14ac:dyDescent="0.25">
      <c r="A25" s="214" t="s">
        <v>272</v>
      </c>
      <c r="B25" s="25">
        <v>618</v>
      </c>
      <c r="C25" s="25">
        <v>600</v>
      </c>
      <c r="D25" s="25">
        <v>555</v>
      </c>
      <c r="E25" s="25">
        <v>570</v>
      </c>
      <c r="F25" s="25">
        <v>580</v>
      </c>
      <c r="G25" s="25">
        <v>568</v>
      </c>
      <c r="H25" s="25">
        <v>660</v>
      </c>
    </row>
    <row r="26" spans="1:8" x14ac:dyDescent="0.25">
      <c r="A26" s="214" t="s">
        <v>277</v>
      </c>
      <c r="B26" s="25">
        <v>2610</v>
      </c>
      <c r="C26" s="25">
        <v>2500</v>
      </c>
      <c r="D26" s="25">
        <v>2195</v>
      </c>
      <c r="E26" s="25">
        <v>2050</v>
      </c>
      <c r="F26" s="25">
        <v>2100</v>
      </c>
      <c r="G26" s="25">
        <v>2050</v>
      </c>
      <c r="H26" s="25">
        <v>1870</v>
      </c>
    </row>
    <row r="27" spans="1:8" x14ac:dyDescent="0.25">
      <c r="A27" s="214" t="s">
        <v>306</v>
      </c>
      <c r="B27" s="25">
        <v>2650</v>
      </c>
      <c r="C27" s="25">
        <v>2650</v>
      </c>
      <c r="D27" s="25">
        <v>2200</v>
      </c>
      <c r="E27" s="25">
        <v>2050</v>
      </c>
      <c r="F27" s="25">
        <v>2650</v>
      </c>
      <c r="G27" s="25">
        <v>2650</v>
      </c>
      <c r="H27" s="25">
        <v>2300</v>
      </c>
    </row>
    <row r="28" spans="1:8" ht="16.5" thickBot="1" x14ac:dyDescent="0.3">
      <c r="A28" s="16"/>
      <c r="B28" s="29"/>
      <c r="C28" s="29"/>
      <c r="D28" s="29"/>
      <c r="E28" s="29"/>
      <c r="F28" s="29"/>
      <c r="G28" s="29"/>
      <c r="H28" s="29"/>
    </row>
  </sheetData>
  <sheetProtection algorithmName="SHA-512" hashValue="6f44NrIPYwDjoYGuXCiE0xF6XhBfU8YD2FwxQgxi5ckjy/2mVCdFAJjBKBWi12jLTlPLoSW/uWzEGZmR0CNHhw==" saltValue="P2l8fLvrkeRSY1l+v7aUjg==" spinCount="100000" sheet="1" objects="1" scenarios="1"/>
  <phoneticPr fontId="3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7"/>
  <sheetViews>
    <sheetView zoomScale="85" zoomScaleNormal="85" workbookViewId="0">
      <pane xSplit="3" ySplit="4" topLeftCell="D5" activePane="bottomRight" state="frozen"/>
      <selection activeCell="E6" sqref="E6"/>
      <selection pane="topRight" activeCell="E6" sqref="E6"/>
      <selection pane="bottomLeft" activeCell="E6" sqref="E6"/>
      <selection pane="bottomRight" activeCell="A2" sqref="A2"/>
    </sheetView>
  </sheetViews>
  <sheetFormatPr defaultRowHeight="15.75" x14ac:dyDescent="0.25"/>
  <cols>
    <col min="1" max="1" width="23.6640625" style="6" customWidth="1"/>
    <col min="2" max="2" width="7" style="6" bestFit="1" customWidth="1"/>
    <col min="3" max="3" width="8" style="6" bestFit="1" customWidth="1"/>
    <col min="4" max="10" width="9.21875" style="203" customWidth="1"/>
  </cols>
  <sheetData>
    <row r="1" spans="1:10" ht="19.5" thickTop="1" thickBot="1" x14ac:dyDescent="0.3">
      <c r="A1" s="312" t="s">
        <v>146</v>
      </c>
      <c r="B1" s="313"/>
      <c r="C1" s="314"/>
    </row>
    <row r="2" spans="1:10" ht="16.5" thickTop="1" x14ac:dyDescent="0.25">
      <c r="A2" s="6" t="s">
        <v>257</v>
      </c>
    </row>
    <row r="3" spans="1:10" ht="16.5" thickBot="1" x14ac:dyDescent="0.3"/>
    <row r="4" spans="1:10" x14ac:dyDescent="0.25">
      <c r="A4" s="174" t="s">
        <v>121</v>
      </c>
      <c r="B4" s="174" t="s">
        <v>142</v>
      </c>
      <c r="C4" s="174" t="s">
        <v>143</v>
      </c>
      <c r="D4" s="207">
        <v>44551</v>
      </c>
      <c r="E4" s="207">
        <v>44521</v>
      </c>
      <c r="F4" s="207">
        <v>44490</v>
      </c>
      <c r="G4" s="207">
        <v>44460</v>
      </c>
      <c r="H4" s="207">
        <v>44429</v>
      </c>
      <c r="I4" s="207">
        <v>44398</v>
      </c>
      <c r="J4" s="207">
        <v>44337</v>
      </c>
    </row>
    <row r="5" spans="1:10" s="20" customFormat="1" x14ac:dyDescent="0.25">
      <c r="A5" s="6"/>
      <c r="B5" s="6"/>
      <c r="C5" s="6"/>
      <c r="D5" s="199"/>
      <c r="E5" s="199"/>
      <c r="F5" s="199"/>
      <c r="G5" s="199"/>
      <c r="H5" s="199"/>
      <c r="I5" s="199"/>
      <c r="J5" s="199"/>
    </row>
    <row r="6" spans="1:10" s="20" customFormat="1" x14ac:dyDescent="0.25">
      <c r="A6" s="6" t="s">
        <v>227</v>
      </c>
      <c r="B6" s="6" t="s">
        <v>144</v>
      </c>
      <c r="C6" s="6" t="s">
        <v>145</v>
      </c>
      <c r="D6" s="199">
        <v>516.4811158</v>
      </c>
      <c r="E6" s="199">
        <v>505.58517069999994</v>
      </c>
      <c r="F6" s="199">
        <v>486.91123999999996</v>
      </c>
      <c r="G6" s="199">
        <v>491.59439284000001</v>
      </c>
      <c r="H6" s="199">
        <v>512.68599139999992</v>
      </c>
      <c r="I6" s="199">
        <v>437.15636173030003</v>
      </c>
      <c r="J6" s="199">
        <v>443.15604444999991</v>
      </c>
    </row>
    <row r="7" spans="1:10" s="20" customFormat="1" x14ac:dyDescent="0.25">
      <c r="A7" s="6" t="s">
        <v>131</v>
      </c>
      <c r="B7" s="6" t="s">
        <v>144</v>
      </c>
      <c r="C7" s="6" t="s">
        <v>145</v>
      </c>
      <c r="D7" s="199">
        <v>463.01706755999999</v>
      </c>
      <c r="E7" s="199">
        <v>447.26199673999992</v>
      </c>
      <c r="F7" s="199">
        <v>439.95919600000008</v>
      </c>
      <c r="G7" s="199">
        <v>426.34318661000003</v>
      </c>
      <c r="H7" s="199">
        <v>441.80073374999989</v>
      </c>
      <c r="I7" s="199">
        <v>371.38766622699995</v>
      </c>
      <c r="J7" s="199">
        <v>372.95923419999997</v>
      </c>
    </row>
    <row r="8" spans="1:10" s="20" customFormat="1" x14ac:dyDescent="0.25">
      <c r="A8" s="6" t="s">
        <v>147</v>
      </c>
      <c r="B8" s="6" t="s">
        <v>144</v>
      </c>
      <c r="C8" s="6" t="s">
        <v>145</v>
      </c>
      <c r="D8" s="199">
        <v>473.27940580000006</v>
      </c>
      <c r="E8" s="199">
        <v>459.03070569999988</v>
      </c>
      <c r="F8" s="199">
        <v>444.91154600000004</v>
      </c>
      <c r="G8" s="199">
        <v>436.03749999999997</v>
      </c>
      <c r="H8" s="199">
        <v>453.9851007499999</v>
      </c>
      <c r="I8" s="199">
        <v>380.4806411495</v>
      </c>
      <c r="J8" s="199">
        <v>380.37468544999996</v>
      </c>
    </row>
    <row r="9" spans="1:10" s="20" customFormat="1" x14ac:dyDescent="0.25">
      <c r="A9" s="6"/>
      <c r="B9" s="6"/>
      <c r="C9" s="6"/>
      <c r="D9" s="199"/>
      <c r="E9" s="199"/>
      <c r="F9" s="199"/>
      <c r="G9" s="199"/>
      <c r="H9" s="199"/>
      <c r="I9" s="199"/>
      <c r="J9" s="199"/>
    </row>
    <row r="10" spans="1:10" s="20" customFormat="1" x14ac:dyDescent="0.25">
      <c r="A10" s="6" t="s">
        <v>251</v>
      </c>
      <c r="B10" s="6" t="s">
        <v>144</v>
      </c>
      <c r="C10" s="6" t="s">
        <v>145</v>
      </c>
      <c r="D10" s="199">
        <v>961.10538866000002</v>
      </c>
      <c r="E10" s="199">
        <v>946.87118035000015</v>
      </c>
      <c r="F10" s="199">
        <v>925.29168471000003</v>
      </c>
      <c r="G10" s="199">
        <v>903.21692658000006</v>
      </c>
      <c r="H10" s="199">
        <v>926.19803525000009</v>
      </c>
      <c r="I10" s="199">
        <v>899.68784573219989</v>
      </c>
      <c r="J10" s="199">
        <v>867.82980075</v>
      </c>
    </row>
    <row r="11" spans="1:10" s="20" customFormat="1" x14ac:dyDescent="0.25">
      <c r="A11" s="6" t="s">
        <v>132</v>
      </c>
      <c r="B11" s="6" t="s">
        <v>144</v>
      </c>
      <c r="C11" s="6" t="s">
        <v>145</v>
      </c>
      <c r="D11" s="199">
        <v>701.16691676000005</v>
      </c>
      <c r="E11" s="199">
        <v>686.56787035000002</v>
      </c>
      <c r="F11" s="199">
        <v>662.03237746000013</v>
      </c>
      <c r="G11" s="199">
        <v>645.2056650400001</v>
      </c>
      <c r="H11" s="199">
        <v>672.90964095000004</v>
      </c>
      <c r="I11" s="199">
        <v>633.57744967139979</v>
      </c>
      <c r="J11" s="199">
        <v>664.9327552499999</v>
      </c>
    </row>
    <row r="12" spans="1:10" s="20" customFormat="1" x14ac:dyDescent="0.25">
      <c r="A12" s="6" t="s">
        <v>133</v>
      </c>
      <c r="B12" s="6" t="s">
        <v>144</v>
      </c>
      <c r="C12" s="6" t="s">
        <v>145</v>
      </c>
      <c r="D12" s="199">
        <v>543.96995000000004</v>
      </c>
      <c r="E12" s="199">
        <v>530.48179999999991</v>
      </c>
      <c r="F12" s="199">
        <v>513.44399999999996</v>
      </c>
      <c r="G12" s="199">
        <v>513.16056431999982</v>
      </c>
      <c r="H12" s="199">
        <v>536.71142199999997</v>
      </c>
      <c r="I12" s="199">
        <v>474.40940371980003</v>
      </c>
      <c r="J12" s="199">
        <v>492.15507934999994</v>
      </c>
    </row>
    <row r="13" spans="1:10" s="20" customFormat="1" x14ac:dyDescent="0.25">
      <c r="A13" s="6"/>
      <c r="B13" s="6"/>
      <c r="C13" s="6"/>
      <c r="D13" s="199"/>
      <c r="E13" s="199"/>
      <c r="F13" s="199"/>
      <c r="G13" s="199"/>
      <c r="H13" s="199"/>
      <c r="I13" s="199"/>
      <c r="J13" s="199"/>
    </row>
    <row r="14" spans="1:10" s="20" customFormat="1" x14ac:dyDescent="0.25">
      <c r="A14" s="6" t="s">
        <v>253</v>
      </c>
      <c r="B14" s="6" t="s">
        <v>144</v>
      </c>
      <c r="C14" s="6" t="s">
        <v>145</v>
      </c>
      <c r="D14" s="199">
        <v>491.79870000000005</v>
      </c>
      <c r="E14" s="199">
        <v>475.76254999999998</v>
      </c>
      <c r="F14" s="199">
        <v>456.76475000000005</v>
      </c>
      <c r="G14" s="199">
        <v>461.58959999999996</v>
      </c>
      <c r="H14" s="199">
        <v>478.08124999999995</v>
      </c>
      <c r="I14" s="199">
        <v>407.97845899999999</v>
      </c>
      <c r="J14" s="199">
        <v>416.33569349999993</v>
      </c>
    </row>
    <row r="15" spans="1:10" s="20" customFormat="1" x14ac:dyDescent="0.25">
      <c r="A15" s="6" t="s">
        <v>252</v>
      </c>
      <c r="B15" s="6" t="s">
        <v>144</v>
      </c>
      <c r="C15" s="6" t="s">
        <v>145</v>
      </c>
      <c r="D15" s="199">
        <v>470.9421999999999</v>
      </c>
      <c r="E15" s="199">
        <v>455.20529999999991</v>
      </c>
      <c r="F15" s="199">
        <v>435.12249999999995</v>
      </c>
      <c r="G15" s="199">
        <v>431.42759999999998</v>
      </c>
      <c r="H15" s="199">
        <v>446.16699999999997</v>
      </c>
      <c r="I15" s="199">
        <v>378.32417866040004</v>
      </c>
      <c r="J15" s="199">
        <v>377.88934474999996</v>
      </c>
    </row>
    <row r="16" spans="1:10" s="20" customFormat="1" x14ac:dyDescent="0.25">
      <c r="A16" s="6" t="s">
        <v>134</v>
      </c>
      <c r="B16" s="6" t="s">
        <v>144</v>
      </c>
      <c r="C16" s="6" t="s">
        <v>145</v>
      </c>
      <c r="D16" s="199">
        <v>460.04740898</v>
      </c>
      <c r="E16" s="199">
        <v>446.24362916999996</v>
      </c>
      <c r="F16" s="199">
        <v>428.39689400000003</v>
      </c>
      <c r="G16" s="199">
        <v>424.62445215999992</v>
      </c>
      <c r="H16" s="199">
        <v>441.87974999999994</v>
      </c>
      <c r="I16" s="199">
        <v>369.47190448619995</v>
      </c>
      <c r="J16" s="199">
        <v>368.00676029999988</v>
      </c>
    </row>
    <row r="17" spans="1:10" s="20" customFormat="1" ht="16.5" thickBot="1" x14ac:dyDescent="0.3">
      <c r="A17" s="16"/>
      <c r="B17" s="16"/>
      <c r="C17" s="16"/>
      <c r="D17" s="200"/>
      <c r="E17" s="200"/>
      <c r="F17" s="200"/>
      <c r="G17" s="200"/>
      <c r="H17" s="200"/>
      <c r="I17" s="200"/>
      <c r="J17" s="200"/>
    </row>
  </sheetData>
  <sheetProtection algorithmName="SHA-512" hashValue="c9GJ96lAmK+v+GbBpwtZdVbzAvAADPBK5QnQHcS8eNfTyyUKCNiZn9/lRoKT08ofhfS0XdjKG2IVk1YfmGNQOg==" saltValue="Z37sCYyszGSYGsk9G1WahQ==" spinCount="100000" sheet="1" objects="1" scenarios="1"/>
  <mergeCells count="1">
    <mergeCell ref="A1:C1"/>
  </mergeCells>
  <phoneticPr fontId="3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499984740745262"/>
  </sheetPr>
  <dimension ref="A1:X38"/>
  <sheetViews>
    <sheetView zoomScale="90" zoomScaleNormal="90" workbookViewId="0">
      <pane xSplit="4" ySplit="4" topLeftCell="E5" activePane="bottomRight" state="frozen"/>
      <selection pane="topRight" activeCell="E1" sqref="E1"/>
      <selection pane="bottomLeft" activeCell="A5" sqref="A5"/>
      <selection pane="bottomRight" activeCell="A9" activeCellId="4" sqref="A33:XFD38 A22:XFD25 A17:XFD18 A11:XFD12 A9:XFD9"/>
    </sheetView>
  </sheetViews>
  <sheetFormatPr defaultRowHeight="15.75" x14ac:dyDescent="0.25"/>
  <cols>
    <col min="1" max="1" width="11.6640625" style="7" hidden="1" customWidth="1"/>
    <col min="2" max="2" width="28.44140625" style="6" bestFit="1" customWidth="1"/>
    <col min="3" max="3" width="11.77734375" style="20" customWidth="1"/>
    <col min="4" max="4" width="11.77734375" style="20" hidden="1" customWidth="1"/>
    <col min="5" max="11" width="11.77734375" style="20" customWidth="1"/>
    <col min="12" max="12" width="11.77734375" style="20" hidden="1" customWidth="1"/>
    <col min="13" max="22" width="11.77734375" style="20" customWidth="1"/>
    <col min="23" max="23" width="8.88671875" style="20" customWidth="1"/>
    <col min="24" max="24" width="12.6640625" style="190" customWidth="1"/>
    <col min="25" max="25" width="21.109375" style="20" customWidth="1"/>
    <col min="26" max="16384" width="8.88671875" style="20"/>
  </cols>
  <sheetData>
    <row r="1" spans="1:24" s="2" customFormat="1" ht="19.5" thickTop="1" thickBot="1" x14ac:dyDescent="0.3">
      <c r="A1" s="315" t="s">
        <v>118</v>
      </c>
      <c r="B1" s="316"/>
      <c r="C1" s="317"/>
      <c r="N1" s="189"/>
    </row>
    <row r="2" spans="1:24" customFormat="1" ht="16.5" thickTop="1" x14ac:dyDescent="0.25">
      <c r="B2" s="6"/>
      <c r="N2" s="30"/>
    </row>
    <row r="3" spans="1:24" customFormat="1" x14ac:dyDescent="0.25">
      <c r="B3" s="6"/>
      <c r="C3" s="238" t="s">
        <v>309</v>
      </c>
      <c r="N3" s="30"/>
    </row>
    <row r="4" spans="1:24" customFormat="1" x14ac:dyDescent="0.25">
      <c r="A4" s="1" t="s">
        <v>0</v>
      </c>
      <c r="B4" s="247" t="s">
        <v>1</v>
      </c>
      <c r="C4" s="248" t="s">
        <v>108</v>
      </c>
      <c r="D4" s="249" t="s">
        <v>308</v>
      </c>
      <c r="E4" s="250" t="s">
        <v>320</v>
      </c>
      <c r="F4" s="250" t="s">
        <v>318</v>
      </c>
      <c r="G4" s="250" t="s">
        <v>317</v>
      </c>
      <c r="H4" s="250" t="s">
        <v>316</v>
      </c>
      <c r="I4" s="250" t="s">
        <v>312</v>
      </c>
      <c r="J4" s="250" t="s">
        <v>294</v>
      </c>
      <c r="K4" s="251" t="s">
        <v>256</v>
      </c>
      <c r="L4" s="19" t="s">
        <v>255</v>
      </c>
      <c r="N4" s="30"/>
    </row>
    <row r="5" spans="1:24" x14ac:dyDescent="0.25">
      <c r="A5" s="227">
        <v>10020</v>
      </c>
      <c r="B5" s="252" t="s">
        <v>17</v>
      </c>
      <c r="C5" s="239">
        <v>430</v>
      </c>
      <c r="D5" s="239"/>
      <c r="E5" s="239">
        <v>430</v>
      </c>
      <c r="F5" s="239">
        <v>425</v>
      </c>
      <c r="G5" s="239">
        <v>395</v>
      </c>
      <c r="H5" s="239">
        <v>379</v>
      </c>
      <c r="I5" s="239">
        <v>415</v>
      </c>
      <c r="J5" s="239">
        <v>321.51</v>
      </c>
      <c r="K5" s="253">
        <v>350</v>
      </c>
      <c r="L5" s="228"/>
      <c r="N5" s="190"/>
      <c r="X5" s="20"/>
    </row>
    <row r="6" spans="1:24" x14ac:dyDescent="0.25">
      <c r="A6" s="229">
        <v>11132</v>
      </c>
      <c r="B6" s="254" t="s">
        <v>16</v>
      </c>
      <c r="C6" s="240">
        <v>404</v>
      </c>
      <c r="D6" s="240"/>
      <c r="E6" s="240">
        <v>404</v>
      </c>
      <c r="F6" s="240">
        <v>401</v>
      </c>
      <c r="G6" s="240">
        <v>395</v>
      </c>
      <c r="H6" s="240">
        <v>440</v>
      </c>
      <c r="I6" s="240">
        <v>450</v>
      </c>
      <c r="J6" s="240">
        <v>400</v>
      </c>
      <c r="K6" s="255">
        <v>355</v>
      </c>
      <c r="L6" s="230"/>
      <c r="N6" s="190"/>
      <c r="X6" s="20"/>
    </row>
    <row r="7" spans="1:24" x14ac:dyDescent="0.25">
      <c r="A7" s="231">
        <v>14320</v>
      </c>
      <c r="B7" s="254" t="s">
        <v>269</v>
      </c>
      <c r="C7" s="240">
        <v>468</v>
      </c>
      <c r="D7" s="240"/>
      <c r="E7" s="240">
        <v>468</v>
      </c>
      <c r="F7" s="240">
        <v>455</v>
      </c>
      <c r="G7" s="240">
        <v>418</v>
      </c>
      <c r="H7" s="240">
        <v>404</v>
      </c>
      <c r="I7" s="240">
        <v>425</v>
      </c>
      <c r="J7" s="240">
        <v>343.86</v>
      </c>
      <c r="K7" s="255">
        <v>345</v>
      </c>
      <c r="L7" s="232"/>
      <c r="N7" s="190"/>
      <c r="X7" s="20"/>
    </row>
    <row r="8" spans="1:24" x14ac:dyDescent="0.25">
      <c r="A8" s="229">
        <v>20550</v>
      </c>
      <c r="B8" s="254" t="s">
        <v>109</v>
      </c>
      <c r="C8" s="240">
        <v>450</v>
      </c>
      <c r="D8" s="240"/>
      <c r="E8" s="240">
        <v>450</v>
      </c>
      <c r="F8" s="240">
        <v>419</v>
      </c>
      <c r="G8" s="240">
        <v>392</v>
      </c>
      <c r="H8" s="240">
        <v>386</v>
      </c>
      <c r="I8" s="240">
        <v>390</v>
      </c>
      <c r="J8" s="240">
        <v>345</v>
      </c>
      <c r="K8" s="255">
        <v>430</v>
      </c>
      <c r="L8" s="230"/>
      <c r="N8" s="190"/>
      <c r="X8" s="20"/>
    </row>
    <row r="9" spans="1:24" hidden="1" x14ac:dyDescent="0.25">
      <c r="A9" s="229">
        <v>21540</v>
      </c>
      <c r="B9" s="260" t="s">
        <v>110</v>
      </c>
      <c r="C9" s="261">
        <v>900</v>
      </c>
      <c r="D9" s="261"/>
      <c r="E9" s="261">
        <v>900</v>
      </c>
      <c r="F9" s="261">
        <v>900</v>
      </c>
      <c r="G9" s="261">
        <v>900</v>
      </c>
      <c r="H9" s="261">
        <v>900</v>
      </c>
      <c r="I9" s="261">
        <v>900</v>
      </c>
      <c r="J9" s="261">
        <v>900</v>
      </c>
      <c r="K9" s="262">
        <v>900</v>
      </c>
      <c r="L9" s="230"/>
      <c r="N9" s="190"/>
      <c r="X9" s="20"/>
    </row>
    <row r="10" spans="1:24" x14ac:dyDescent="0.25">
      <c r="A10" s="229">
        <v>22964</v>
      </c>
      <c r="B10" s="254" t="s">
        <v>270</v>
      </c>
      <c r="C10" s="240">
        <v>422</v>
      </c>
      <c r="D10" s="240"/>
      <c r="E10" s="240">
        <v>422</v>
      </c>
      <c r="F10" s="240">
        <v>395</v>
      </c>
      <c r="G10" s="240">
        <v>380</v>
      </c>
      <c r="H10" s="240">
        <v>380</v>
      </c>
      <c r="I10" s="240">
        <v>350</v>
      </c>
      <c r="J10" s="240">
        <v>285</v>
      </c>
      <c r="K10" s="255">
        <v>285</v>
      </c>
      <c r="L10" s="230"/>
      <c r="N10" s="190"/>
      <c r="X10" s="20"/>
    </row>
    <row r="11" spans="1:24" hidden="1" x14ac:dyDescent="0.25">
      <c r="A11" s="229">
        <v>30050</v>
      </c>
      <c r="B11" s="260" t="s">
        <v>111</v>
      </c>
      <c r="C11" s="261">
        <v>375</v>
      </c>
      <c r="D11" s="261"/>
      <c r="E11" s="261">
        <v>375</v>
      </c>
      <c r="F11" s="261">
        <v>375</v>
      </c>
      <c r="G11" s="261">
        <v>320</v>
      </c>
      <c r="H11" s="261">
        <v>320</v>
      </c>
      <c r="I11" s="261">
        <v>320</v>
      </c>
      <c r="J11" s="261">
        <v>300</v>
      </c>
      <c r="K11" s="262">
        <v>300</v>
      </c>
      <c r="L11" s="230"/>
      <c r="N11" s="190"/>
      <c r="X11" s="20"/>
    </row>
    <row r="12" spans="1:24" hidden="1" x14ac:dyDescent="0.25">
      <c r="A12" s="229"/>
      <c r="B12" s="260" t="s">
        <v>271</v>
      </c>
      <c r="C12" s="261"/>
      <c r="D12" s="261"/>
      <c r="E12" s="261"/>
      <c r="F12" s="261"/>
      <c r="G12" s="261"/>
      <c r="H12" s="261"/>
      <c r="I12" s="261">
        <v>208</v>
      </c>
      <c r="J12" s="261">
        <v>208</v>
      </c>
      <c r="K12" s="262">
        <v>208</v>
      </c>
      <c r="L12" s="230"/>
      <c r="N12" s="190"/>
      <c r="X12" s="20"/>
    </row>
    <row r="13" spans="1:24" x14ac:dyDescent="0.25">
      <c r="A13" s="231">
        <v>40004</v>
      </c>
      <c r="B13" s="254" t="s">
        <v>15</v>
      </c>
      <c r="C13" s="240">
        <v>556</v>
      </c>
      <c r="D13" s="240"/>
      <c r="E13" s="240">
        <v>556</v>
      </c>
      <c r="F13" s="240">
        <v>472</v>
      </c>
      <c r="G13" s="240">
        <v>470</v>
      </c>
      <c r="H13" s="240">
        <v>490</v>
      </c>
      <c r="I13" s="240">
        <v>460</v>
      </c>
      <c r="J13" s="240">
        <v>366.17</v>
      </c>
      <c r="K13" s="255">
        <v>360</v>
      </c>
      <c r="L13" s="232"/>
      <c r="N13" s="190"/>
      <c r="X13" s="20"/>
    </row>
    <row r="14" spans="1:24" x14ac:dyDescent="0.25">
      <c r="A14" s="229">
        <v>40060</v>
      </c>
      <c r="B14" s="254" t="s">
        <v>112</v>
      </c>
      <c r="C14" s="240">
        <v>457</v>
      </c>
      <c r="D14" s="240"/>
      <c r="E14" s="240">
        <v>457</v>
      </c>
      <c r="F14" s="240">
        <v>425</v>
      </c>
      <c r="G14" s="240">
        <v>390</v>
      </c>
      <c r="H14" s="240">
        <v>395</v>
      </c>
      <c r="I14" s="240">
        <v>390</v>
      </c>
      <c r="J14" s="240">
        <v>375</v>
      </c>
      <c r="K14" s="255">
        <v>450</v>
      </c>
      <c r="L14" s="230"/>
      <c r="N14" s="190"/>
      <c r="X14" s="20"/>
    </row>
    <row r="15" spans="1:24" x14ac:dyDescent="0.25">
      <c r="A15" s="229">
        <v>41250</v>
      </c>
      <c r="B15" s="254" t="s">
        <v>113</v>
      </c>
      <c r="C15" s="240">
        <v>556</v>
      </c>
      <c r="D15" s="240"/>
      <c r="E15" s="240">
        <v>556</v>
      </c>
      <c r="F15" s="240">
        <v>480</v>
      </c>
      <c r="G15" s="240">
        <v>470</v>
      </c>
      <c r="H15" s="240">
        <v>490</v>
      </c>
      <c r="I15" s="240">
        <v>460</v>
      </c>
      <c r="J15" s="240">
        <v>366.17</v>
      </c>
      <c r="K15" s="255">
        <v>349</v>
      </c>
      <c r="L15" s="230"/>
      <c r="N15" s="190"/>
      <c r="X15" s="20"/>
    </row>
    <row r="16" spans="1:24" x14ac:dyDescent="0.25">
      <c r="A16" s="229">
        <v>42120</v>
      </c>
      <c r="B16" s="254" t="s">
        <v>272</v>
      </c>
      <c r="C16" s="240">
        <v>618</v>
      </c>
      <c r="D16" s="240"/>
      <c r="E16" s="240">
        <v>618</v>
      </c>
      <c r="F16" s="240">
        <v>600</v>
      </c>
      <c r="G16" s="240">
        <v>555</v>
      </c>
      <c r="H16" s="240">
        <v>570</v>
      </c>
      <c r="I16" s="240">
        <v>580</v>
      </c>
      <c r="J16" s="240">
        <v>568</v>
      </c>
      <c r="K16" s="255">
        <v>660</v>
      </c>
      <c r="L16" s="230"/>
      <c r="N16" s="190"/>
      <c r="X16" s="20"/>
    </row>
    <row r="17" spans="1:24" hidden="1" x14ac:dyDescent="0.25">
      <c r="A17" s="229">
        <v>42205</v>
      </c>
      <c r="B17" s="260" t="s">
        <v>114</v>
      </c>
      <c r="C17" s="261">
        <v>1950</v>
      </c>
      <c r="D17" s="261"/>
      <c r="E17" s="261">
        <v>1950</v>
      </c>
      <c r="F17" s="261">
        <v>1950</v>
      </c>
      <c r="G17" s="261">
        <v>1950</v>
      </c>
      <c r="H17" s="261">
        <v>1950</v>
      </c>
      <c r="I17" s="261">
        <v>1950</v>
      </c>
      <c r="J17" s="261">
        <v>1950</v>
      </c>
      <c r="K17" s="262">
        <v>1950</v>
      </c>
      <c r="L17" s="230"/>
      <c r="N17" s="190"/>
      <c r="X17" s="20"/>
    </row>
    <row r="18" spans="1:24" hidden="1" x14ac:dyDescent="0.25">
      <c r="A18" s="229">
        <v>51860</v>
      </c>
      <c r="B18" s="260" t="s">
        <v>115</v>
      </c>
      <c r="C18" s="263">
        <v>1230</v>
      </c>
      <c r="D18" s="263"/>
      <c r="E18" s="263">
        <v>1230</v>
      </c>
      <c r="F18" s="263">
        <v>1230</v>
      </c>
      <c r="G18" s="263">
        <v>1230</v>
      </c>
      <c r="H18" s="263">
        <v>1230</v>
      </c>
      <c r="I18" s="263">
        <v>1230</v>
      </c>
      <c r="J18" s="263">
        <v>1348</v>
      </c>
      <c r="K18" s="264">
        <v>1048</v>
      </c>
      <c r="L18" s="230"/>
      <c r="N18" s="190"/>
      <c r="X18" s="20"/>
    </row>
    <row r="19" spans="1:24" x14ac:dyDescent="0.25">
      <c r="A19" s="229">
        <v>60080</v>
      </c>
      <c r="B19" s="254" t="s">
        <v>273</v>
      </c>
      <c r="C19" s="241">
        <v>132</v>
      </c>
      <c r="D19" s="241"/>
      <c r="E19" s="241">
        <v>132</v>
      </c>
      <c r="F19" s="241">
        <v>132</v>
      </c>
      <c r="G19" s="241">
        <v>132</v>
      </c>
      <c r="H19" s="241">
        <v>110</v>
      </c>
      <c r="I19" s="241">
        <v>132</v>
      </c>
      <c r="J19" s="241">
        <v>132</v>
      </c>
      <c r="K19" s="256">
        <v>132</v>
      </c>
      <c r="L19" s="230"/>
      <c r="N19" s="190"/>
      <c r="X19" s="20"/>
    </row>
    <row r="20" spans="1:24" x14ac:dyDescent="0.25">
      <c r="A20" s="229">
        <v>60220</v>
      </c>
      <c r="B20" s="254" t="s">
        <v>274</v>
      </c>
      <c r="C20" s="241">
        <v>970</v>
      </c>
      <c r="D20" s="241"/>
      <c r="E20" s="241">
        <v>970</v>
      </c>
      <c r="F20" s="241">
        <v>970</v>
      </c>
      <c r="G20" s="241">
        <v>970</v>
      </c>
      <c r="H20" s="241">
        <v>950</v>
      </c>
      <c r="I20" s="241">
        <v>970</v>
      </c>
      <c r="J20" s="241">
        <v>970</v>
      </c>
      <c r="K20" s="256">
        <v>970</v>
      </c>
      <c r="L20" s="230"/>
      <c r="N20" s="190"/>
      <c r="X20" s="20"/>
    </row>
    <row r="21" spans="1:24" x14ac:dyDescent="0.25">
      <c r="A21" s="229">
        <v>60700</v>
      </c>
      <c r="B21" s="254" t="s">
        <v>275</v>
      </c>
      <c r="C21" s="241">
        <v>115</v>
      </c>
      <c r="D21" s="241"/>
      <c r="E21" s="241">
        <v>115</v>
      </c>
      <c r="F21" s="241">
        <v>115</v>
      </c>
      <c r="G21" s="241">
        <v>115</v>
      </c>
      <c r="H21" s="241">
        <v>100</v>
      </c>
      <c r="I21" s="241">
        <v>115</v>
      </c>
      <c r="J21" s="241">
        <v>115</v>
      </c>
      <c r="K21" s="256">
        <v>115</v>
      </c>
      <c r="L21" s="230"/>
      <c r="N21" s="190"/>
      <c r="X21" s="20"/>
    </row>
    <row r="22" spans="1:24" hidden="1" x14ac:dyDescent="0.25">
      <c r="A22" s="229">
        <v>61800</v>
      </c>
      <c r="B22" s="260" t="s">
        <v>116</v>
      </c>
      <c r="C22" s="263">
        <v>4225</v>
      </c>
      <c r="D22" s="263"/>
      <c r="E22" s="263">
        <v>4225</v>
      </c>
      <c r="F22" s="263">
        <v>4225</v>
      </c>
      <c r="G22" s="263">
        <v>4225</v>
      </c>
      <c r="H22" s="263">
        <v>4180</v>
      </c>
      <c r="I22" s="263">
        <v>4180</v>
      </c>
      <c r="J22" s="263">
        <v>4120</v>
      </c>
      <c r="K22" s="264">
        <v>3700</v>
      </c>
      <c r="L22" s="230"/>
      <c r="N22" s="190"/>
      <c r="X22" s="20"/>
    </row>
    <row r="23" spans="1:24" hidden="1" x14ac:dyDescent="0.25">
      <c r="A23" s="229">
        <v>62221</v>
      </c>
      <c r="B23" s="260" t="s">
        <v>276</v>
      </c>
      <c r="C23" s="263">
        <v>9330</v>
      </c>
      <c r="D23" s="263"/>
      <c r="E23" s="263">
        <v>9330</v>
      </c>
      <c r="F23" s="263">
        <v>9330</v>
      </c>
      <c r="G23" s="263">
        <v>9330</v>
      </c>
      <c r="H23" s="263">
        <v>9330</v>
      </c>
      <c r="I23" s="263">
        <v>9330</v>
      </c>
      <c r="J23" s="263">
        <v>9300</v>
      </c>
      <c r="K23" s="264">
        <v>9330</v>
      </c>
      <c r="L23" s="230"/>
      <c r="N23" s="190"/>
      <c r="X23" s="20"/>
    </row>
    <row r="24" spans="1:24" hidden="1" x14ac:dyDescent="0.25">
      <c r="A24" s="229">
        <v>62325</v>
      </c>
      <c r="B24" s="260" t="s">
        <v>117</v>
      </c>
      <c r="C24" s="263">
        <v>3270</v>
      </c>
      <c r="D24" s="263"/>
      <c r="E24" s="263">
        <v>3270</v>
      </c>
      <c r="F24" s="263">
        <v>3270</v>
      </c>
      <c r="G24" s="263">
        <v>3270</v>
      </c>
      <c r="H24" s="263">
        <v>2995</v>
      </c>
      <c r="I24" s="263">
        <v>2995</v>
      </c>
      <c r="J24" s="263">
        <v>2995</v>
      </c>
      <c r="K24" s="264">
        <v>2870</v>
      </c>
      <c r="L24" s="230"/>
      <c r="N24" s="190"/>
      <c r="X24" s="20"/>
    </row>
    <row r="25" spans="1:24" hidden="1" x14ac:dyDescent="0.25">
      <c r="A25" s="229">
        <v>64680</v>
      </c>
      <c r="B25" s="260" t="s">
        <v>12</v>
      </c>
      <c r="C25" s="265">
        <v>3850</v>
      </c>
      <c r="D25" s="265"/>
      <c r="E25" s="265">
        <v>3850</v>
      </c>
      <c r="F25" s="265">
        <v>3750</v>
      </c>
      <c r="G25" s="265">
        <v>2305</v>
      </c>
      <c r="H25" s="265">
        <v>2180</v>
      </c>
      <c r="I25" s="265">
        <v>2180</v>
      </c>
      <c r="J25" s="265">
        <v>1720</v>
      </c>
      <c r="K25" s="266">
        <v>1730</v>
      </c>
      <c r="L25" s="233"/>
      <c r="N25" s="190"/>
      <c r="X25" s="20"/>
    </row>
    <row r="26" spans="1:24" x14ac:dyDescent="0.25">
      <c r="A26" s="229">
        <v>66000</v>
      </c>
      <c r="B26" s="254" t="s">
        <v>10</v>
      </c>
      <c r="C26" s="241">
        <v>5100</v>
      </c>
      <c r="D26" s="241"/>
      <c r="E26" s="241">
        <v>5100</v>
      </c>
      <c r="F26" s="241">
        <v>4300</v>
      </c>
      <c r="G26" s="241">
        <v>3450</v>
      </c>
      <c r="H26" s="241">
        <v>2750</v>
      </c>
      <c r="I26" s="241">
        <v>3000</v>
      </c>
      <c r="J26" s="241">
        <v>3000</v>
      </c>
      <c r="K26" s="256">
        <v>2975</v>
      </c>
      <c r="L26" s="230"/>
      <c r="N26" s="190"/>
      <c r="X26" s="20"/>
    </row>
    <row r="27" spans="1:24" x14ac:dyDescent="0.25">
      <c r="A27" s="229">
        <v>66069</v>
      </c>
      <c r="B27" s="254" t="s">
        <v>277</v>
      </c>
      <c r="C27" s="241">
        <v>2610</v>
      </c>
      <c r="D27" s="241"/>
      <c r="E27" s="241">
        <v>2610</v>
      </c>
      <c r="F27" s="241">
        <v>2500</v>
      </c>
      <c r="G27" s="241">
        <v>2195</v>
      </c>
      <c r="H27" s="241">
        <v>2050</v>
      </c>
      <c r="I27" s="241">
        <v>2100</v>
      </c>
      <c r="J27" s="241">
        <v>2050</v>
      </c>
      <c r="K27" s="256">
        <v>1870</v>
      </c>
      <c r="L27" s="230"/>
      <c r="N27" s="190"/>
      <c r="X27" s="20"/>
    </row>
    <row r="28" spans="1:24" x14ac:dyDescent="0.25">
      <c r="A28" s="229">
        <v>66100</v>
      </c>
      <c r="B28" s="254" t="s">
        <v>13</v>
      </c>
      <c r="C28" s="241">
        <v>4495</v>
      </c>
      <c r="D28" s="241"/>
      <c r="E28" s="241">
        <v>4495</v>
      </c>
      <c r="F28" s="241">
        <v>4450</v>
      </c>
      <c r="G28" s="241">
        <v>4200</v>
      </c>
      <c r="H28" s="241">
        <v>4350</v>
      </c>
      <c r="I28" s="241">
        <v>4525</v>
      </c>
      <c r="J28" s="241">
        <v>4525</v>
      </c>
      <c r="K28" s="256">
        <v>4575</v>
      </c>
      <c r="L28" s="230"/>
      <c r="N28" s="190"/>
      <c r="X28" s="20"/>
    </row>
    <row r="29" spans="1:24" x14ac:dyDescent="0.25">
      <c r="A29" s="229">
        <v>66200</v>
      </c>
      <c r="B29" s="254" t="s">
        <v>14</v>
      </c>
      <c r="C29" s="242">
        <v>13250</v>
      </c>
      <c r="D29" s="242"/>
      <c r="E29" s="242">
        <v>13250</v>
      </c>
      <c r="F29" s="242">
        <v>12750</v>
      </c>
      <c r="G29" s="242">
        <v>13750</v>
      </c>
      <c r="H29" s="242">
        <v>13750</v>
      </c>
      <c r="I29" s="242">
        <v>12750</v>
      </c>
      <c r="J29" s="242">
        <v>12750</v>
      </c>
      <c r="K29" s="257">
        <v>14050</v>
      </c>
      <c r="L29" s="233"/>
      <c r="N29" s="190"/>
      <c r="X29" s="20"/>
    </row>
    <row r="30" spans="1:24" x14ac:dyDescent="0.25">
      <c r="A30" s="231">
        <v>66300</v>
      </c>
      <c r="B30" s="254" t="s">
        <v>11</v>
      </c>
      <c r="C30" s="241">
        <v>4000</v>
      </c>
      <c r="D30" s="241"/>
      <c r="E30" s="241">
        <v>4000</v>
      </c>
      <c r="F30" s="241">
        <v>3900</v>
      </c>
      <c r="G30" s="241">
        <v>3600</v>
      </c>
      <c r="H30" s="241">
        <v>3300</v>
      </c>
      <c r="I30" s="241">
        <v>3200</v>
      </c>
      <c r="J30" s="241">
        <v>3200</v>
      </c>
      <c r="K30" s="256">
        <v>3375</v>
      </c>
      <c r="L30" s="232"/>
      <c r="N30" s="190"/>
      <c r="X30" s="20"/>
    </row>
    <row r="31" spans="1:24" x14ac:dyDescent="0.25">
      <c r="A31" s="229">
        <v>91000</v>
      </c>
      <c r="B31" s="254" t="s">
        <v>306</v>
      </c>
      <c r="C31" s="241">
        <v>2650</v>
      </c>
      <c r="D31" s="241"/>
      <c r="E31" s="241">
        <v>2650</v>
      </c>
      <c r="F31" s="241">
        <v>2650</v>
      </c>
      <c r="G31" s="241">
        <v>2200</v>
      </c>
      <c r="H31" s="241">
        <v>2050</v>
      </c>
      <c r="I31" s="241">
        <v>2650</v>
      </c>
      <c r="J31" s="241">
        <v>2650</v>
      </c>
      <c r="K31" s="256">
        <v>2300</v>
      </c>
      <c r="L31" s="230"/>
      <c r="N31" s="190"/>
      <c r="X31" s="20"/>
    </row>
    <row r="32" spans="1:24" x14ac:dyDescent="0.25">
      <c r="A32" s="234">
        <v>92010</v>
      </c>
      <c r="B32" s="258" t="s">
        <v>307</v>
      </c>
      <c r="C32" s="243">
        <v>1675</v>
      </c>
      <c r="D32" s="243"/>
      <c r="E32" s="243">
        <v>1675</v>
      </c>
      <c r="F32" s="243">
        <v>1400</v>
      </c>
      <c r="G32" s="243">
        <v>1400</v>
      </c>
      <c r="H32" s="243">
        <v>1400</v>
      </c>
      <c r="I32" s="243">
        <v>1400</v>
      </c>
      <c r="J32" s="243">
        <v>1355</v>
      </c>
      <c r="K32" s="259">
        <v>1015</v>
      </c>
      <c r="L32" s="235"/>
      <c r="N32" s="190"/>
      <c r="X32" s="20"/>
    </row>
    <row r="33" spans="1:24" hidden="1" x14ac:dyDescent="0.25">
      <c r="A33" s="7">
        <v>94179</v>
      </c>
      <c r="B33" s="267" t="s">
        <v>279</v>
      </c>
      <c r="C33" s="268">
        <v>3000</v>
      </c>
      <c r="D33" s="268"/>
      <c r="E33" s="268">
        <v>3000</v>
      </c>
      <c r="F33" s="268">
        <v>3000</v>
      </c>
      <c r="G33" s="268">
        <v>3000</v>
      </c>
      <c r="H33" s="268">
        <v>3000</v>
      </c>
      <c r="I33" s="268">
        <v>3000</v>
      </c>
      <c r="J33" s="268">
        <v>3000</v>
      </c>
      <c r="K33" s="268">
        <v>3000</v>
      </c>
      <c r="N33" s="190"/>
      <c r="X33" s="20"/>
    </row>
    <row r="34" spans="1:24" hidden="1" x14ac:dyDescent="0.25">
      <c r="A34" s="7">
        <v>94721</v>
      </c>
      <c r="B34" s="267" t="s">
        <v>280</v>
      </c>
      <c r="C34" s="269">
        <v>3300</v>
      </c>
      <c r="D34" s="269"/>
      <c r="E34" s="269">
        <v>3300</v>
      </c>
      <c r="F34" s="269">
        <v>3300</v>
      </c>
      <c r="G34" s="269">
        <v>3300</v>
      </c>
      <c r="H34" s="269">
        <v>3300</v>
      </c>
      <c r="I34" s="269">
        <v>3300</v>
      </c>
      <c r="J34" s="269">
        <v>3300</v>
      </c>
      <c r="K34" s="269">
        <v>3300</v>
      </c>
      <c r="N34" s="190"/>
      <c r="X34" s="20"/>
    </row>
    <row r="35" spans="1:24" hidden="1" x14ac:dyDescent="0.25">
      <c r="A35" s="175">
        <v>94910</v>
      </c>
      <c r="B35" s="267" t="s">
        <v>258</v>
      </c>
      <c r="C35" s="268">
        <v>10480</v>
      </c>
      <c r="D35" s="268"/>
      <c r="E35" s="268">
        <v>10480</v>
      </c>
      <c r="F35" s="268">
        <v>10480</v>
      </c>
      <c r="G35" s="268">
        <v>10480</v>
      </c>
      <c r="H35" s="268">
        <v>10480</v>
      </c>
      <c r="I35" s="268">
        <v>10480</v>
      </c>
      <c r="J35" s="268">
        <v>10540</v>
      </c>
      <c r="K35" s="268">
        <v>10540</v>
      </c>
      <c r="L35" s="177"/>
      <c r="N35" s="190"/>
      <c r="X35" s="20"/>
    </row>
    <row r="36" spans="1:24" hidden="1" x14ac:dyDescent="0.25">
      <c r="A36" s="7">
        <v>922556</v>
      </c>
      <c r="B36" s="267" t="s">
        <v>281</v>
      </c>
      <c r="C36" s="268">
        <v>8400</v>
      </c>
      <c r="D36" s="268"/>
      <c r="E36" s="268">
        <v>8400</v>
      </c>
      <c r="F36" s="268">
        <v>8400</v>
      </c>
      <c r="G36" s="268">
        <v>8400</v>
      </c>
      <c r="H36" s="268">
        <v>8400</v>
      </c>
      <c r="I36" s="268">
        <v>8400</v>
      </c>
      <c r="J36" s="268">
        <v>8500</v>
      </c>
      <c r="K36" s="268">
        <v>8500</v>
      </c>
      <c r="N36" s="190"/>
      <c r="X36" s="20"/>
    </row>
    <row r="37" spans="1:24" hidden="1" x14ac:dyDescent="0.25">
      <c r="A37" s="7">
        <v>922557</v>
      </c>
      <c r="B37" s="267" t="s">
        <v>282</v>
      </c>
      <c r="C37" s="269">
        <v>7800</v>
      </c>
      <c r="D37" s="269"/>
      <c r="E37" s="269">
        <v>7800</v>
      </c>
      <c r="F37" s="269">
        <v>7800</v>
      </c>
      <c r="G37" s="269">
        <v>7800</v>
      </c>
      <c r="H37" s="269">
        <v>7800</v>
      </c>
      <c r="I37" s="269">
        <v>7800</v>
      </c>
      <c r="J37" s="269">
        <v>7900</v>
      </c>
      <c r="K37" s="269">
        <v>7900</v>
      </c>
      <c r="N37" s="190"/>
      <c r="X37" s="20"/>
    </row>
    <row r="38" spans="1:24" hidden="1" x14ac:dyDescent="0.25">
      <c r="A38" s="7">
        <v>922558</v>
      </c>
      <c r="B38" s="267" t="s">
        <v>283</v>
      </c>
      <c r="C38" s="268">
        <v>8350</v>
      </c>
      <c r="D38" s="268"/>
      <c r="E38" s="268">
        <v>8350</v>
      </c>
      <c r="F38" s="268">
        <v>8350</v>
      </c>
      <c r="G38" s="268">
        <v>8350</v>
      </c>
      <c r="H38" s="268">
        <v>8350</v>
      </c>
      <c r="I38" s="268">
        <v>8350</v>
      </c>
      <c r="J38" s="268">
        <v>8450</v>
      </c>
      <c r="K38" s="268">
        <v>8450</v>
      </c>
      <c r="N38" s="190"/>
      <c r="X38" s="20"/>
    </row>
  </sheetData>
  <sheetProtection algorithmName="SHA-512" hashValue="IFMT/dafYNWLFxhs7O2xMv8o6FSZ5u0CN7kQ02PgrvxM/LBR4TpyrHVHILiYH++oVJwBFTErV7vnuMdaknJxXw==" saltValue="JkQIq/mMcPkIkat4A/ysSA==" spinCount="100000" sheet="1" objects="1" scenarios="1"/>
  <mergeCells count="1">
    <mergeCell ref="A1:C1"/>
  </mergeCells>
  <phoneticPr fontId="35"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raw</vt:lpstr>
      <vt:lpstr>Lactation</vt:lpstr>
      <vt:lpstr>Gestation</vt:lpstr>
      <vt:lpstr>Gilt Dev</vt:lpstr>
      <vt:lpstr>Starter 1</vt:lpstr>
      <vt:lpstr>Starter 2</vt:lpstr>
      <vt:lpstr>Pre-grower</vt:lpstr>
      <vt:lpstr>Grower 1</vt:lpstr>
      <vt:lpstr>Grower 2</vt:lpstr>
      <vt:lpstr>Finisher</vt:lpstr>
      <vt:lpstr>RM Usage</vt:lpstr>
      <vt:lpstr>F C M</vt:lpstr>
      <vt:lpstr>Summary FCM</vt:lpstr>
      <vt:lpstr>Hist. Pricing</vt:lpstr>
      <vt:lpstr>RMP</vt:lpstr>
      <vt:lpstr>Feed_Tonnes</vt:lpstr>
      <vt:lpstr>Finisher</vt:lpstr>
      <vt:lpstr>Freight</vt:lpstr>
      <vt:lpstr>Gestation</vt:lpstr>
      <vt:lpstr>Gilt_Dev</vt:lpstr>
      <vt:lpstr>Grower</vt:lpstr>
      <vt:lpstr>Grower2</vt:lpstr>
      <vt:lpstr>Lactation</vt:lpstr>
      <vt:lpstr>Margin_Crumbles</vt:lpstr>
      <vt:lpstr>Margin_Pellet</vt:lpstr>
      <vt:lpstr>Pigs_Mktd</vt:lpstr>
      <vt:lpstr>Pre_Grower</vt:lpstr>
      <vt:lpstr>Quarantine</vt:lpstr>
      <vt:lpstr>raw_1</vt:lpstr>
      <vt:lpstr>raw_2</vt:lpstr>
      <vt:lpstr>RMP_IU</vt:lpstr>
      <vt:lpstr>RMP_MFH</vt:lpstr>
      <vt:lpstr>Shrink</vt:lpstr>
      <vt:lpstr>Str_2</vt:lpstr>
      <vt:lpstr>Truck_Load_Size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 Zamora</dc:creator>
  <cp:lastModifiedBy>Andrew Heck</cp:lastModifiedBy>
  <cp:lastPrinted>2020-06-26T20:44:35Z</cp:lastPrinted>
  <dcterms:created xsi:type="dcterms:W3CDTF">2016-06-29T19:17:50Z</dcterms:created>
  <dcterms:modified xsi:type="dcterms:W3CDTF">2021-12-20T17:00:27Z</dcterms:modified>
</cp:coreProperties>
</file>